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akovate\Downloads\"/>
    </mc:Choice>
  </mc:AlternateContent>
  <xr:revisionPtr revIDLastSave="0" documentId="8_{BBA081F3-1F54-4854-A54C-B713AB91662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3" sheetId="3" r:id="rId1"/>
    <sheet name="List1" sheetId="4" r:id="rId2"/>
  </sheets>
  <definedNames>
    <definedName name="_xlnm.Print_Area" localSheetId="0">List3!$A$1:$U$146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3" l="1"/>
  <c r="T10" i="3"/>
  <c r="T9" i="3"/>
  <c r="T8" i="3"/>
  <c r="T7" i="3"/>
  <c r="T6" i="3"/>
  <c r="T5" i="3"/>
  <c r="T4" i="3"/>
  <c r="T65" i="3"/>
  <c r="T66" i="3"/>
  <c r="T67" i="3"/>
  <c r="T68" i="3"/>
  <c r="T69" i="3"/>
  <c r="T70" i="3"/>
  <c r="T71" i="3"/>
  <c r="T72" i="3"/>
  <c r="T73" i="3"/>
  <c r="T96" i="3"/>
  <c r="T97" i="3"/>
  <c r="T24" i="3"/>
  <c r="T23" i="3"/>
  <c r="T22" i="3"/>
  <c r="T21" i="3"/>
  <c r="T20" i="3"/>
  <c r="T19" i="3"/>
  <c r="T18" i="3"/>
  <c r="T17" i="3"/>
  <c r="T16" i="3"/>
  <c r="T15" i="3"/>
  <c r="T14" i="3"/>
  <c r="T13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R11" i="3" l="1"/>
  <c r="P11" i="3"/>
  <c r="R10" i="3"/>
  <c r="P10" i="3"/>
  <c r="R9" i="3"/>
  <c r="P9" i="3"/>
  <c r="R8" i="3"/>
  <c r="P8" i="3"/>
  <c r="Q6" i="3"/>
  <c r="R5" i="3"/>
  <c r="P5" i="3"/>
  <c r="R4" i="3"/>
  <c r="P4" i="3"/>
  <c r="I98" i="3" l="1"/>
  <c r="T98" i="3" s="1"/>
  <c r="R38" i="3"/>
  <c r="R39" i="3"/>
  <c r="R40" i="3"/>
  <c r="R41" i="3"/>
  <c r="R42" i="3"/>
  <c r="R43" i="3"/>
  <c r="R44" i="3"/>
  <c r="R45" i="3"/>
  <c r="R46" i="3"/>
  <c r="R37" i="3"/>
  <c r="P38" i="3"/>
  <c r="P39" i="3"/>
  <c r="P40" i="3"/>
  <c r="P41" i="3"/>
  <c r="P42" i="3"/>
  <c r="P43" i="3"/>
  <c r="P44" i="3"/>
  <c r="P45" i="3"/>
  <c r="P46" i="3"/>
  <c r="P37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14" i="3"/>
  <c r="P75" i="3"/>
  <c r="P76" i="3"/>
  <c r="P77" i="3"/>
  <c r="P78" i="3"/>
  <c r="P79" i="3"/>
  <c r="P80" i="3"/>
  <c r="P81" i="3"/>
  <c r="P82" i="3"/>
  <c r="P83" i="3"/>
  <c r="P84" i="3"/>
  <c r="P74" i="3"/>
  <c r="Q97" i="3"/>
  <c r="O97" i="3" s="1"/>
  <c r="Q96" i="3"/>
  <c r="O96" i="3" s="1"/>
  <c r="Q95" i="3"/>
  <c r="O95" i="3" s="1"/>
  <c r="Q94" i="3"/>
  <c r="O94" i="3" s="1"/>
  <c r="Q93" i="3"/>
  <c r="O93" i="3" s="1"/>
  <c r="Q92" i="3"/>
  <c r="O92" i="3" s="1"/>
  <c r="Q91" i="3"/>
  <c r="O91" i="3" s="1"/>
  <c r="Q90" i="3"/>
  <c r="O90" i="3" s="1"/>
  <c r="Q89" i="3"/>
  <c r="O89" i="3" s="1"/>
  <c r="Q88" i="3"/>
  <c r="O88" i="3" s="1"/>
  <c r="Q87" i="3"/>
  <c r="O87" i="3" s="1"/>
  <c r="Q86" i="3"/>
  <c r="O86" i="3" s="1"/>
  <c r="Q85" i="3"/>
  <c r="O85" i="3" s="1"/>
  <c r="R89" i="3"/>
  <c r="P89" i="3" s="1"/>
  <c r="R97" i="3"/>
  <c r="P97" i="3" s="1"/>
  <c r="R96" i="3"/>
  <c r="P96" i="3" s="1"/>
  <c r="R95" i="3"/>
  <c r="P95" i="3" s="1"/>
  <c r="R94" i="3"/>
  <c r="P94" i="3" s="1"/>
  <c r="R93" i="3"/>
  <c r="P93" i="3" s="1"/>
  <c r="R92" i="3"/>
  <c r="P92" i="3" s="1"/>
  <c r="R91" i="3"/>
  <c r="P91" i="3" s="1"/>
  <c r="R90" i="3"/>
  <c r="P90" i="3" s="1"/>
  <c r="R88" i="3"/>
  <c r="P88" i="3" s="1"/>
  <c r="R87" i="3"/>
  <c r="P87" i="3" s="1"/>
  <c r="R86" i="3"/>
  <c r="P86" i="3" s="1"/>
  <c r="R85" i="3"/>
  <c r="P85" i="3" s="1"/>
  <c r="P48" i="3"/>
  <c r="P49" i="3"/>
  <c r="P50" i="3"/>
  <c r="P51" i="3"/>
  <c r="P52" i="3"/>
  <c r="P53" i="3"/>
  <c r="P54" i="3"/>
  <c r="P47" i="3"/>
  <c r="P99" i="3"/>
  <c r="P100" i="3"/>
  <c r="P101" i="3"/>
  <c r="P98" i="3"/>
  <c r="O73" i="3"/>
  <c r="P73" i="3" s="1"/>
  <c r="O72" i="3"/>
  <c r="P72" i="3" s="1"/>
  <c r="O71" i="3"/>
  <c r="P71" i="3" s="1"/>
  <c r="R73" i="3"/>
  <c r="R72" i="3"/>
  <c r="R71" i="3"/>
  <c r="P61" i="3"/>
  <c r="P60" i="3"/>
  <c r="P56" i="3"/>
  <c r="P70" i="3"/>
  <c r="P69" i="3"/>
  <c r="P68" i="3"/>
  <c r="P67" i="3"/>
  <c r="P66" i="3"/>
  <c r="P65" i="3"/>
  <c r="P64" i="3"/>
  <c r="P63" i="3"/>
  <c r="P62" i="3"/>
  <c r="P57" i="3"/>
  <c r="P58" i="3"/>
  <c r="P59" i="3"/>
  <c r="I101" i="3" l="1"/>
  <c r="T101" i="3" s="1"/>
  <c r="I100" i="3"/>
  <c r="T100" i="3" s="1"/>
  <c r="I99" i="3"/>
  <c r="T99" i="3" s="1"/>
  <c r="I95" i="3"/>
  <c r="T95" i="3" s="1"/>
  <c r="I94" i="3"/>
  <c r="T94" i="3" s="1"/>
  <c r="I93" i="3"/>
  <c r="T93" i="3" s="1"/>
  <c r="I92" i="3"/>
  <c r="T92" i="3" s="1"/>
  <c r="I91" i="3"/>
  <c r="T91" i="3" s="1"/>
  <c r="I90" i="3"/>
  <c r="T90" i="3" s="1"/>
  <c r="I89" i="3"/>
  <c r="T89" i="3" s="1"/>
  <c r="I88" i="3"/>
  <c r="T88" i="3" s="1"/>
  <c r="I87" i="3"/>
  <c r="T87" i="3" s="1"/>
  <c r="I86" i="3"/>
  <c r="T86" i="3" s="1"/>
  <c r="I85" i="3"/>
  <c r="T85" i="3" s="1"/>
  <c r="I83" i="3"/>
  <c r="T83" i="3" s="1"/>
  <c r="I84" i="3"/>
  <c r="T84" i="3" s="1"/>
  <c r="I78" i="3"/>
  <c r="T78" i="3" s="1"/>
  <c r="I77" i="3"/>
  <c r="T77" i="3" s="1"/>
  <c r="I76" i="3"/>
  <c r="T76" i="3" s="1"/>
  <c r="I75" i="3"/>
  <c r="T75" i="3" s="1"/>
  <c r="I74" i="3"/>
  <c r="T74" i="3" s="1"/>
  <c r="I82" i="3"/>
  <c r="T82" i="3" s="1"/>
  <c r="I81" i="3"/>
  <c r="T81" i="3" s="1"/>
  <c r="I80" i="3"/>
  <c r="T80" i="3" s="1"/>
  <c r="I79" i="3"/>
  <c r="T79" i="3" s="1"/>
  <c r="Q74" i="3"/>
  <c r="Q13" i="3"/>
  <c r="P13" i="3"/>
  <c r="R13" i="3" s="1"/>
  <c r="Q105" i="3" l="1"/>
  <c r="Q106" i="3" s="1"/>
</calcChain>
</file>

<file path=xl/sharedStrings.xml><?xml version="1.0" encoding="utf-8"?>
<sst xmlns="http://schemas.openxmlformats.org/spreadsheetml/2006/main" count="820" uniqueCount="329">
  <si>
    <t>č./no.</t>
  </si>
  <si>
    <t>položka</t>
  </si>
  <si>
    <t>item</t>
  </si>
  <si>
    <t>bez DPH/ without VAT</t>
  </si>
  <si>
    <t>s DPH/      with VAT</t>
  </si>
  <si>
    <t>s DPH/    with VAT</t>
  </si>
  <si>
    <t>Generators</t>
  </si>
  <si>
    <t>Palivový generátor</t>
  </si>
  <si>
    <t>Power bank</t>
  </si>
  <si>
    <t>Powerbanka</t>
  </si>
  <si>
    <t>Alza</t>
  </si>
  <si>
    <t>Hasicí přístroje</t>
  </si>
  <si>
    <t>Fire extinguishers</t>
  </si>
  <si>
    <t>Roman Farkaš</t>
  </si>
  <si>
    <t xml:space="preserve">Sacks for sand </t>
  </si>
  <si>
    <t>Pytle na písek</t>
  </si>
  <si>
    <t>Refractory fireproof fabrics</t>
  </si>
  <si>
    <t xml:space="preserve">Žáruvzdorné ohnivzdorné tkaniny </t>
  </si>
  <si>
    <t>Protection for windows: OSB plates</t>
  </si>
  <si>
    <t>Ochrana oken: OSB desky</t>
  </si>
  <si>
    <t>80 rolls</t>
  </si>
  <si>
    <t>Tracing paper A3</t>
  </si>
  <si>
    <t>Pauzovací papír A3</t>
  </si>
  <si>
    <t>Adhesive tape</t>
  </si>
  <si>
    <t>Paketo</t>
  </si>
  <si>
    <t>POWER AND PROTECTION</t>
  </si>
  <si>
    <t>dodavatel / contractor</t>
  </si>
  <si>
    <t>HS kód / HS code</t>
  </si>
  <si>
    <t>požadavky / requirements</t>
  </si>
  <si>
    <t>počet / quantity</t>
  </si>
  <si>
    <t>specifikace produktu / product specification</t>
  </si>
  <si>
    <t>zakoupeno v / purchased in</t>
  </si>
  <si>
    <t>cena za kus / price per piece (CZK)</t>
  </si>
  <si>
    <t>Weldpoint</t>
  </si>
  <si>
    <t>Jaroslav Karban</t>
  </si>
  <si>
    <t>Termosky</t>
  </si>
  <si>
    <t>Thermoses</t>
  </si>
  <si>
    <t xml:space="preserve">315x240 mm </t>
  </si>
  <si>
    <t>I</t>
  </si>
  <si>
    <t>II</t>
  </si>
  <si>
    <t>III</t>
  </si>
  <si>
    <t>294x194x78 mm, corrugated cardboard</t>
  </si>
  <si>
    <t>485x385x375 mm, corrugated cardboard</t>
  </si>
  <si>
    <t>585x385x375 mm, corrugated cardboard</t>
  </si>
  <si>
    <t>280x255x125 mm, corrugated cardboard</t>
  </si>
  <si>
    <t>385x285x275 mm, corrugated cardboard</t>
  </si>
  <si>
    <t>545x362x257 mm, corrugated cardboard</t>
  </si>
  <si>
    <t>210x150x140 mm, corrugated cardboard</t>
  </si>
  <si>
    <t>581x376x193 mm, corrugated cardboard</t>
  </si>
  <si>
    <t>785x585x575 mm, corrugated cardboard</t>
  </si>
  <si>
    <t>354x284x228 mm, corrugated cardboard</t>
  </si>
  <si>
    <t>300x200x100 mm, kraft cardboard</t>
  </si>
  <si>
    <t xml:space="preserve">Craft packing roll paper, 46-80 rolls / 70 m2 </t>
  </si>
  <si>
    <t>Cardboard boxes, 900-1500 pcs</t>
  </si>
  <si>
    <t>Corrugated cardboard rolled, 69-100 rolls / 20 m2</t>
  </si>
  <si>
    <t>Corrugated cardboard - roll</t>
  </si>
  <si>
    <t>Craft packing paper - roll</t>
  </si>
  <si>
    <t>Waterproof craft bags, zip bags, 700 pcs, aprox. 150x120 cm</t>
  </si>
  <si>
    <t>250 ml, paper/opp, waterproof</t>
  </si>
  <si>
    <t>750 ml, paper/opp, waterproof</t>
  </si>
  <si>
    <t>500 ml, paper/opp, waterproof</t>
  </si>
  <si>
    <t>Cardboard box</t>
  </si>
  <si>
    <t>Kartonová krabice</t>
  </si>
  <si>
    <t>Craft zip bag</t>
  </si>
  <si>
    <t>Vlněná lepenka - role</t>
  </si>
  <si>
    <t>Balicí papír - role</t>
  </si>
  <si>
    <t>Balicí papír kraftový - role</t>
  </si>
  <si>
    <t xml:space="preserve">Uzavíratelný sáček </t>
  </si>
  <si>
    <t>Obálka z hladké lepenky A4+</t>
  </si>
  <si>
    <t>Envelopes A4, 200-400 pcs</t>
  </si>
  <si>
    <t>Cardboard envelopes A4+</t>
  </si>
  <si>
    <t>Odvlhčovač vzduchu</t>
  </si>
  <si>
    <t>Air dehumidifier</t>
  </si>
  <si>
    <t>Air dehumidifiers, 5-7 pcs</t>
  </si>
  <si>
    <t>Perfektum</t>
  </si>
  <si>
    <t>Bublinková fólie - role</t>
  </si>
  <si>
    <t>9 rolls, 1,2x100 m, L2</t>
  </si>
  <si>
    <t>Bubble wrap, 46-80 rolls / 100 m2</t>
  </si>
  <si>
    <t>Bubble wrap, 46-80 rolls / 100 m3</t>
  </si>
  <si>
    <t>Bubble wrap, 46-80 rolls / 100 m4</t>
  </si>
  <si>
    <t>Bubble wrap, 46-80 rolls / 100 m5</t>
  </si>
  <si>
    <t>32 rolls, 0,5x100 m, L2</t>
  </si>
  <si>
    <t>37 rolls, 1x100 m, L2</t>
  </si>
  <si>
    <t>3 rolls, 1,5x100 m, L2</t>
  </si>
  <si>
    <t>Strečová fólie - role</t>
  </si>
  <si>
    <t>Bubble wrap - roll</t>
  </si>
  <si>
    <t>Stretch film - roll</t>
  </si>
  <si>
    <t xml:space="preserve">Stretch film transparent rolled, 46-80 rolls / 150 m2 </t>
  </si>
  <si>
    <t>80 rolls, 0,5x300 m, transparent</t>
  </si>
  <si>
    <t>Páska samolepící papírová</t>
  </si>
  <si>
    <t>Adhesive tape paper</t>
  </si>
  <si>
    <t>Adhesive tape, 92-200 pcs</t>
  </si>
  <si>
    <t>0,48x50 m, paper</t>
  </si>
  <si>
    <t>Páska samolepící transparentní</t>
  </si>
  <si>
    <t>Adhesive tape transparent</t>
  </si>
  <si>
    <t>0,48x66 m, PP tranpsarent</t>
  </si>
  <si>
    <t>Páska samolepící</t>
  </si>
  <si>
    <t>0,50x66 m, PP transparent, noiseless</t>
  </si>
  <si>
    <t>0,50x66 m, PP transparent, red-black "fragile"</t>
  </si>
  <si>
    <t>Uzavíratelný PE sáček</t>
  </si>
  <si>
    <t>PE zip bag</t>
  </si>
  <si>
    <t>brand Perfektum, model D165/3-40 °C</t>
  </si>
  <si>
    <t>2 packs x 100 pcs, 120x170 mm, PE transparent</t>
  </si>
  <si>
    <t>Archivní krabice</t>
  </si>
  <si>
    <t>35x26x11 cm</t>
  </si>
  <si>
    <t>Spisové desky A1</t>
  </si>
  <si>
    <t>3 packs</t>
  </si>
  <si>
    <t>25 pcs</t>
  </si>
  <si>
    <t>2 packs</t>
  </si>
  <si>
    <t>100 pcs</t>
  </si>
  <si>
    <t>150 pcs</t>
  </si>
  <si>
    <t>200 pcs</t>
  </si>
  <si>
    <t>90 pcs</t>
  </si>
  <si>
    <t>110 pcs</t>
  </si>
  <si>
    <t>7 rolls</t>
  </si>
  <si>
    <t>1,05x110 m</t>
  </si>
  <si>
    <t>4 rolls</t>
  </si>
  <si>
    <t>1,4x110 m</t>
  </si>
  <si>
    <t>400 pcs</t>
  </si>
  <si>
    <t>160 rolls</t>
  </si>
  <si>
    <t>300 pcs</t>
  </si>
  <si>
    <t>30 pcs</t>
  </si>
  <si>
    <t>60 pcs</t>
  </si>
  <si>
    <t>10 pcs</t>
  </si>
  <si>
    <t>1 rolls</t>
  </si>
  <si>
    <t>6 rolls</t>
  </si>
  <si>
    <t>8 rolls</t>
  </si>
  <si>
    <t>46 rolls</t>
  </si>
  <si>
    <t>9 rolls</t>
  </si>
  <si>
    <t>32 rolls</t>
  </si>
  <si>
    <t>37 rolls</t>
  </si>
  <si>
    <t>3 rolls</t>
  </si>
  <si>
    <t>5 pcs</t>
  </si>
  <si>
    <t>3 packs x 25 pcs, A1, with flaps</t>
  </si>
  <si>
    <t>325 pcs</t>
  </si>
  <si>
    <t>Ceiba</t>
  </si>
  <si>
    <t>Archivní desky rozšiřovací</t>
  </si>
  <si>
    <t>601x501x2 mm, Klug, expandable</t>
  </si>
  <si>
    <t>Archivní desky A3</t>
  </si>
  <si>
    <t>Archivní desky pro konzervaci</t>
  </si>
  <si>
    <t>Cardboard folders A3, A2, A1, A0, 400-600 pcs, instead can be craft cardboard 65x90 cm</t>
  </si>
  <si>
    <t>100x140 cm, 0,3 mm, Klug, cream color</t>
  </si>
  <si>
    <t>401x281x31/300x280x30 mm, 240 gsm, Klug, expandable</t>
  </si>
  <si>
    <t>501x401x2/500x400x1 mm, 240 gsm, Klug, expandable</t>
  </si>
  <si>
    <t>250x400x35 mm, 1,6mm, 560 g/m2, Klug</t>
  </si>
  <si>
    <t>600x800x35 mm, 1,6mm, 560 g/m2, Klug</t>
  </si>
  <si>
    <t>Krabice na pergameny/archiválie</t>
  </si>
  <si>
    <t>Cardboard boxes for parchment/archivals</t>
  </si>
  <si>
    <t>Archival boxes</t>
  </si>
  <si>
    <t>Archival folders A3</t>
  </si>
  <si>
    <t>Archival file folders A1</t>
  </si>
  <si>
    <t>Archival folders expandable</t>
  </si>
  <si>
    <t>Archival folders with laces</t>
  </si>
  <si>
    <t>Archivní desky s tkanicemi</t>
  </si>
  <si>
    <t>38x23 cm</t>
  </si>
  <si>
    <t>Archival folders for conservation</t>
  </si>
  <si>
    <t>I+III</t>
  </si>
  <si>
    <t>1,05x100 m</t>
  </si>
  <si>
    <t>1,2x110 m</t>
  </si>
  <si>
    <t>0,8x110 m</t>
  </si>
  <si>
    <t>0,7x3 m</t>
  </si>
  <si>
    <t>pH neutrální papír bez alkalické rezervy</t>
  </si>
  <si>
    <t>pH neutral tissue paper unbuffered</t>
  </si>
  <si>
    <t>55 pcs</t>
  </si>
  <si>
    <t>7 pcs</t>
  </si>
  <si>
    <t>21 pcs</t>
  </si>
  <si>
    <t>18 pcs</t>
  </si>
  <si>
    <t>6 pcs</t>
  </si>
  <si>
    <t>20 pcs</t>
  </si>
  <si>
    <t>22 pcs</t>
  </si>
  <si>
    <t>1 roll</t>
  </si>
  <si>
    <t>Dupont Tyvek 1442 R, 1,52x50 m, soft, pH neutral</t>
  </si>
  <si>
    <t>Jemná obalová textiílie - Tyvek</t>
  </si>
  <si>
    <t>Soft packing fabric - Tyvek</t>
  </si>
  <si>
    <t xml:space="preserve">PE fólie - Melinex </t>
  </si>
  <si>
    <t>PE film - Melinex</t>
  </si>
  <si>
    <t>Melinex 401, 50 mic, 1,28x25 m</t>
  </si>
  <si>
    <t>Melinex 401, 75 mic, 1,36x25 m</t>
  </si>
  <si>
    <t>Melinex 401, 100 mic, 1,375x25 m</t>
  </si>
  <si>
    <t>75x100 cm, 17-18 gsm, unbuffered - pH 7</t>
  </si>
  <si>
    <t>Archival corrugated cardboard</t>
  </si>
  <si>
    <t>1,8 mm 100x172cm, Klug</t>
  </si>
  <si>
    <t>Archivní vlněná lepenka</t>
  </si>
  <si>
    <t xml:space="preserve">Archivní alkalická lepenka </t>
  </si>
  <si>
    <t>Archival cardboard buffered</t>
  </si>
  <si>
    <t>100x140 cm, 0,9 mm, 670g/m2, pH 7,5-10</t>
  </si>
  <si>
    <t>100x140 cm, 0,7 mm, 550g/m2, pH 7,5-10</t>
  </si>
  <si>
    <t>100x140 cm, 1,3 mm, 955g/m2, pH 7,5-10</t>
  </si>
  <si>
    <t>1,6 mm 110x172cm, Klug</t>
  </si>
  <si>
    <t>3,0 mm 110x172cm, Klug</t>
  </si>
  <si>
    <t>4,5 mm 100x172cm, Klug</t>
  </si>
  <si>
    <t>5,0 mm 120x180cm, Klug</t>
  </si>
  <si>
    <t>Acid-free Tissue - Unbuffered</t>
  </si>
  <si>
    <t>Cardboard boxes, 900-1500 pcs / Archive folders for valuable documentation  200-300 pcs / Cardboard folders A3, A2, A1, A0, 400-600 pcs, instead can be craft cardboard 65x90 cm</t>
  </si>
  <si>
    <t>Archive folders for valuable documentation 200-300 pcs / Cardboard folders A3, A2, A1, A0, 400-600 pcs, instead can be craft cardboard 65x90 cm</t>
  </si>
  <si>
    <t>II+III</t>
  </si>
  <si>
    <t>Cardboard / Blueboard</t>
  </si>
  <si>
    <t>Batting / Soft cushioning materials for wrapping objects</t>
  </si>
  <si>
    <t>Desky A1</t>
  </si>
  <si>
    <t>Folders A1</t>
  </si>
  <si>
    <t>A1/A2</t>
  </si>
  <si>
    <t>Desky A2</t>
  </si>
  <si>
    <t>Folders A2</t>
  </si>
  <si>
    <t>A2/A3</t>
  </si>
  <si>
    <t>MIKO Office</t>
  </si>
  <si>
    <t>Desky A3</t>
  </si>
  <si>
    <t>Folders A3</t>
  </si>
  <si>
    <t>A3/A4</t>
  </si>
  <si>
    <t>Desky A4</t>
  </si>
  <si>
    <t>Folders A4</t>
  </si>
  <si>
    <t>Cardboard folders A4, 100-200 pcs</t>
  </si>
  <si>
    <t>A4</t>
  </si>
  <si>
    <t>Desky A2 s tkanicemi</t>
  </si>
  <si>
    <t>Folders A2 with laces</t>
  </si>
  <si>
    <t xml:space="preserve">A2 </t>
  </si>
  <si>
    <t>Desky A3 s tkanicemi</t>
  </si>
  <si>
    <t>Folders A3 with laces</t>
  </si>
  <si>
    <t xml:space="preserve">A3 </t>
  </si>
  <si>
    <t>Desky A4 s tkanicemi</t>
  </si>
  <si>
    <t>Folders A4 with laces</t>
  </si>
  <si>
    <t>1500 pcs</t>
  </si>
  <si>
    <t>A3, blocks</t>
  </si>
  <si>
    <t>Tracing paper A3, 1000-1500 pcs</t>
  </si>
  <si>
    <t>400x500x35 mm, 1,6mm, 560 g/m2,Klug / 600x800x35 mm, 1,6mm, 560 g/m2, Klug</t>
  </si>
  <si>
    <t>Cotton fabric - Muslin</t>
  </si>
  <si>
    <t>200 m</t>
  </si>
  <si>
    <t>Stoklasa</t>
  </si>
  <si>
    <t>Bavlněná textílie - Mušelín</t>
  </si>
  <si>
    <t>150 m</t>
  </si>
  <si>
    <t>PE fabric - Pellon</t>
  </si>
  <si>
    <t>PE textílie - Vatelín</t>
  </si>
  <si>
    <t>75 m</t>
  </si>
  <si>
    <t>250 m</t>
  </si>
  <si>
    <t>Batting (Pellon) / Soft cushioning materials for wrapping object</t>
  </si>
  <si>
    <t>Muslin (Cotton fabric) / Soft cushioning materials for wrapping object</t>
  </si>
  <si>
    <t>PE transparent film / Poly Sheeting LDPE/HDPE</t>
  </si>
  <si>
    <t xml:space="preserve">LDPE průhledná fólie </t>
  </si>
  <si>
    <t>LDPE transparent film</t>
  </si>
  <si>
    <t>5 rolls</t>
  </si>
  <si>
    <t>1,5x251 mm 100 mic</t>
  </si>
  <si>
    <t>PE pěnové desky</t>
  </si>
  <si>
    <t>PE foam boards</t>
  </si>
  <si>
    <t>Poly Sheeting LDPE</t>
  </si>
  <si>
    <t>10 packs</t>
  </si>
  <si>
    <t>Rajapack</t>
  </si>
  <si>
    <t>Ethafoam / Polyethylene foam / Soft cushioning materials for wrapping object</t>
  </si>
  <si>
    <t>Loose fill (extruded polystyrene chips, peanuts or Pelspan) / Soft cushioning materials for wrapping object</t>
  </si>
  <si>
    <t>Flo-pak výplň</t>
  </si>
  <si>
    <t>Flo-pak fill</t>
  </si>
  <si>
    <t>3 packs x 100 pcs, 300x200x25 mm, 22kg/m3,</t>
  </si>
  <si>
    <t>10 packs x 0,5 m3, PS</t>
  </si>
  <si>
    <t>Servisbal</t>
  </si>
  <si>
    <t>PACKING MATERIALS, CLIMATE</t>
  </si>
  <si>
    <t>list</t>
  </si>
  <si>
    <t>vyrobeno v / produced in</t>
  </si>
  <si>
    <t>celková cena / overall price  (CZK)</t>
  </si>
  <si>
    <t>I+II</t>
  </si>
  <si>
    <t>DE</t>
  </si>
  <si>
    <t>CZ</t>
  </si>
  <si>
    <t>CZ+SK</t>
  </si>
  <si>
    <t>A3, 425x540/425x320 mm, 240 gsm</t>
  </si>
  <si>
    <t>1x110 m</t>
  </si>
  <si>
    <t xml:space="preserve">CZ </t>
  </si>
  <si>
    <t>piece=pcs/pack/roll/meter</t>
  </si>
  <si>
    <t>PL</t>
  </si>
  <si>
    <t>20 packs, 120 g/m2, 0,8x10 m, white, cotton</t>
  </si>
  <si>
    <t>15 packs, 100 g/m2., 0,9x10 m, 8 mm, white, PE</t>
  </si>
  <si>
    <t>5 packs, 150 g/m2., 1,4x50 m, 12 mm, white, PE</t>
  </si>
  <si>
    <t>15 packs, 200 g/m2., 2x5 m, 20 mm, white, PE</t>
  </si>
  <si>
    <t xml:space="preserve">1,4x110 m </t>
  </si>
  <si>
    <t>Pěnový PE - role</t>
  </si>
  <si>
    <t>PE foam - roll</t>
  </si>
  <si>
    <t>2 roll</t>
  </si>
  <si>
    <t>Pěnový PE - profil</t>
  </si>
  <si>
    <t>PE foam - profile</t>
  </si>
  <si>
    <t>Corner protectors for paintings, 400-1000 pcs</t>
  </si>
  <si>
    <t>3,0 1x175m</t>
  </si>
  <si>
    <t>2,0 1x250 m</t>
  </si>
  <si>
    <t>1,0 1x500 m</t>
  </si>
  <si>
    <t>3,0 1,5x175 m</t>
  </si>
  <si>
    <t xml:space="preserve"> 5,0 1x100 m</t>
  </si>
  <si>
    <t>Profile U = 18 (1 pcs=2 m)</t>
  </si>
  <si>
    <t>Profile U = 25 (1 pcs=2 m)</t>
  </si>
  <si>
    <t>Profile U = 35 (1 pcs=2 m)</t>
  </si>
  <si>
    <t>Profile U = 60 (1 pcs=2 m)</t>
  </si>
  <si>
    <t>Profile U = 80 (1 pcs=2 m)</t>
  </si>
  <si>
    <t>Profile L=50 (1 pcs=2 m)</t>
  </si>
  <si>
    <t>50 pcs</t>
  </si>
  <si>
    <t>Profile L=75 (1ks=2bm), 105 pcs in carton</t>
  </si>
  <si>
    <t>Profile U=25, corner, 100x100 mm</t>
  </si>
  <si>
    <t>Profile U=35, corner, 100x100 mm</t>
  </si>
  <si>
    <t>Profile U=45, corner, 100x100 mm</t>
  </si>
  <si>
    <t>Profile U=60, corner, 100x100 mm</t>
  </si>
  <si>
    <t>80 pcs</t>
  </si>
  <si>
    <t>EU (IE)</t>
  </si>
  <si>
    <t>Petrol cans</t>
  </si>
  <si>
    <t>4 pcs</t>
  </si>
  <si>
    <t>15 pcs</t>
  </si>
  <si>
    <t>70 pcs</t>
  </si>
  <si>
    <t>3000 pcs</t>
  </si>
  <si>
    <t>generator Einhell TC-IG 2000, 2000 W, output: 2x 220V, black and red</t>
  </si>
  <si>
    <t>vol. 20 l, metal, green</t>
  </si>
  <si>
    <t>thermos, black and white, steel, plastic and glass inside</t>
  </si>
  <si>
    <t>dry powder fire extinguisher 6 kg 21A</t>
  </si>
  <si>
    <t>56x110 cm, white, PP</t>
  </si>
  <si>
    <t>Hornbach</t>
  </si>
  <si>
    <t>CN</t>
  </si>
  <si>
    <t>Kanystry</t>
  </si>
  <si>
    <t>petrol generator, preferably inverter 5-10 pcs</t>
  </si>
  <si>
    <t>canister for fuel / metal canisters for fuel, 10-20 pcs</t>
  </si>
  <si>
    <t>Thermoses (vol.2 liters), 10-15 pcs</t>
  </si>
  <si>
    <t>35-70 pcs</t>
  </si>
  <si>
    <t>105*55 (50kg), 1000-3000 pcs</t>
  </si>
  <si>
    <t>18mm, 730m2-1500m2</t>
  </si>
  <si>
    <t>750 m2</t>
  </si>
  <si>
    <t>fireproof fabrics fireTEX® 610.G1 width 1 m, 25m roll (14x), 50m roll (3x)</t>
  </si>
  <si>
    <t>OSB; 18 mm; grooveless; 1,25mx2,5m</t>
  </si>
  <si>
    <t>AlzaPower Unlimited 10 000mAh Power Delivery 30W, black</t>
  </si>
  <si>
    <t>btto weight</t>
  </si>
  <si>
    <t>netto weight</t>
  </si>
  <si>
    <t>remarks</t>
  </si>
  <si>
    <t>Refractory fireproof fabrics / Fire-resistant tarpaulin, 2300m2-3500m2</t>
  </si>
  <si>
    <t>NL</t>
  </si>
  <si>
    <t>hmotnost položky / weight per piece (kg)</t>
  </si>
  <si>
    <t>box / box</t>
  </si>
  <si>
    <t>paleta / palette</t>
  </si>
  <si>
    <t>TOTAL PRICE (in CZK without VAT):</t>
  </si>
  <si>
    <t>TOTAL PRICE including shipping costs (in CZK without VAT):</t>
  </si>
  <si>
    <t>500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</si>
</sst>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392B23"/>
      <name val="Calibri"/>
      <family val="2"/>
      <charset val="238"/>
      <scheme val="minor"/>
    </font>
    <font>
      <b/>
      <sz val="11"/>
      <color rgb="FF392B23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0" fillId="0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Fill="1" applyBorder="1"/>
    <xf numFmtId="0" fontId="8" fillId="0" borderId="1" xfId="0" applyFont="1" applyFill="1" applyBorder="1"/>
    <xf numFmtId="0" fontId="6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/>
    <xf numFmtId="0" fontId="1" fillId="0" borderId="0" xfId="0" applyFont="1" applyFill="1" applyBorder="1"/>
    <xf numFmtId="0" fontId="1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2" xfId="0" applyFont="1" applyFill="1" applyBorder="1"/>
    <xf numFmtId="0" fontId="1" fillId="0" borderId="1" xfId="0" applyFont="1" applyFill="1" applyBorder="1"/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9" fillId="0" borderId="1" xfId="0" applyFont="1" applyFill="1" applyBorder="1" applyAlignment="1">
      <alignment vertical="center"/>
    </xf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1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2" fontId="0" fillId="0" borderId="0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2" fontId="0" fillId="0" borderId="2" xfId="0" applyNumberFormat="1" applyFont="1" applyFill="1" applyBorder="1" applyAlignment="1">
      <alignment horizontal="right"/>
    </xf>
    <xf numFmtId="2" fontId="0" fillId="0" borderId="2" xfId="0" applyNumberFormat="1" applyFont="1" applyBorder="1" applyAlignment="1">
      <alignment horizontal="right"/>
    </xf>
    <xf numFmtId="2" fontId="0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2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164" fontId="0" fillId="0" borderId="2" xfId="0" applyNumberFormat="1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164" fontId="0" fillId="0" borderId="2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2" fontId="1" fillId="0" borderId="0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3" fillId="0" borderId="1" xfId="0" applyFont="1" applyFill="1" applyBorder="1"/>
    <xf numFmtId="0" fontId="7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3" xfId="0" applyFont="1" applyBorder="1"/>
    <xf numFmtId="0" fontId="0" fillId="0" borderId="0" xfId="0" applyFont="1" applyFill="1" applyBorder="1" applyAlignment="1">
      <alignment vertical="center"/>
    </xf>
    <xf numFmtId="164" fontId="0" fillId="0" borderId="2" xfId="0" applyNumberFormat="1" applyFont="1" applyBorder="1" applyAlignment="1">
      <alignment vertical="top"/>
    </xf>
    <xf numFmtId="49" fontId="0" fillId="0" borderId="2" xfId="0" applyNumberFormat="1" applyFont="1" applyBorder="1" applyAlignment="1">
      <alignment vertical="top"/>
    </xf>
    <xf numFmtId="164" fontId="0" fillId="0" borderId="0" xfId="0" applyNumberFormat="1" applyFont="1" applyBorder="1" applyAlignment="1">
      <alignment vertical="top"/>
    </xf>
    <xf numFmtId="49" fontId="0" fillId="0" borderId="0" xfId="0" applyNumberFormat="1" applyFont="1" applyBorder="1" applyAlignment="1">
      <alignment vertical="top"/>
    </xf>
    <xf numFmtId="164" fontId="0" fillId="0" borderId="0" xfId="0" applyNumberFormat="1" applyFont="1" applyFill="1" applyBorder="1" applyAlignment="1">
      <alignment vertical="top"/>
    </xf>
    <xf numFmtId="164" fontId="0" fillId="0" borderId="1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/>
    <xf numFmtId="0" fontId="0" fillId="0" borderId="1" xfId="0" applyFont="1" applyBorder="1" applyAlignment="1"/>
    <xf numFmtId="2" fontId="3" fillId="0" borderId="1" xfId="0" applyNumberFormat="1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" fontId="1" fillId="0" borderId="3" xfId="0" applyNumberFormat="1" applyFont="1" applyFill="1" applyBorder="1" applyAlignment="1">
      <alignment horizontal="left" vertical="center"/>
    </xf>
    <xf numFmtId="2" fontId="3" fillId="0" borderId="3" xfId="0" applyNumberFormat="1" applyFont="1" applyBorder="1" applyAlignment="1">
      <alignment vertical="center"/>
    </xf>
    <xf numFmtId="1" fontId="1" fillId="0" borderId="3" xfId="0" applyNumberFormat="1" applyFont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/>
    </xf>
    <xf numFmtId="164" fontId="0" fillId="0" borderId="3" xfId="0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64" fontId="0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0" borderId="3" xfId="0" applyFont="1" applyFill="1" applyBorder="1"/>
    <xf numFmtId="2" fontId="0" fillId="0" borderId="0" xfId="0" applyNumberFormat="1" applyFont="1"/>
    <xf numFmtId="164" fontId="0" fillId="0" borderId="0" xfId="0" applyNumberFormat="1" applyFill="1"/>
    <xf numFmtId="164" fontId="0" fillId="0" borderId="0" xfId="0" applyNumberFormat="1" applyFill="1" applyBorder="1"/>
    <xf numFmtId="164" fontId="0" fillId="0" borderId="0" xfId="0" applyNumberFormat="1" applyBorder="1"/>
    <xf numFmtId="164" fontId="0" fillId="0" borderId="1" xfId="0" applyNumberFormat="1" applyFill="1" applyBorder="1"/>
    <xf numFmtId="0" fontId="0" fillId="2" borderId="1" xfId="0" applyFont="1" applyFill="1" applyBorder="1"/>
    <xf numFmtId="164" fontId="0" fillId="0" borderId="1" xfId="0" applyNumberFormat="1" applyBorder="1"/>
    <xf numFmtId="164" fontId="0" fillId="0" borderId="0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0" xfId="0" applyFont="1" applyFill="1"/>
    <xf numFmtId="0" fontId="1" fillId="0" borderId="0" xfId="0" applyFont="1"/>
    <xf numFmtId="0" fontId="6" fillId="0" borderId="0" xfId="0" applyFont="1" applyFill="1" applyBorder="1"/>
    <xf numFmtId="164" fontId="0" fillId="0" borderId="0" xfId="0" applyNumberFormat="1"/>
    <xf numFmtId="0" fontId="1" fillId="0" borderId="4" xfId="0" applyFont="1" applyFill="1" applyBorder="1"/>
    <xf numFmtId="0" fontId="1" fillId="0" borderId="5" xfId="0" applyFont="1" applyBorder="1"/>
    <xf numFmtId="0" fontId="1" fillId="0" borderId="5" xfId="0" applyFont="1" applyFill="1" applyBorder="1"/>
    <xf numFmtId="2" fontId="1" fillId="0" borderId="6" xfId="0" applyNumberFormat="1" applyFont="1" applyFill="1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8" xfId="0" applyFont="1" applyFill="1" applyBorder="1"/>
    <xf numFmtId="2" fontId="1" fillId="0" borderId="9" xfId="0" applyNumberFormat="1" applyFont="1" applyFill="1" applyBorder="1"/>
    <xf numFmtId="2" fontId="3" fillId="0" borderId="0" xfId="0" applyNumberFormat="1" applyFont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3" xfId="0" applyNumberFormat="1" applyFont="1" applyFill="1" applyBorder="1" applyAlignment="1">
      <alignment horizontal="right"/>
    </xf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DCF0C6"/>
      <color rgb="FFFFFF99"/>
      <color rgb="FFFFCCCC"/>
      <color rgb="FFD1E0F3"/>
      <color rgb="FF00D05E"/>
      <color rgb="FFFFCCFF"/>
      <color rgb="FFFF66FF"/>
      <color rgb="FFA9F1BC"/>
      <color rgb="FFFFB481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8"/>
  <sheetViews>
    <sheetView tabSelected="1" zoomScaleNormal="100" workbookViewId="0">
      <selection sqref="A1:U146"/>
    </sheetView>
  </sheetViews>
  <sheetFormatPr defaultRowHeight="15" x14ac:dyDescent="0.25"/>
  <cols>
    <col min="1" max="1" width="6.7109375" style="6" customWidth="1"/>
    <col min="2" max="3" width="14.7109375" style="6" customWidth="1"/>
    <col min="4" max="4" width="24" customWidth="1"/>
    <col min="5" max="5" width="26.140625" customWidth="1"/>
    <col min="6" max="6" width="61.7109375" customWidth="1"/>
    <col min="7" max="7" width="5.5703125" customWidth="1"/>
    <col min="8" max="8" width="10.7109375" style="8" customWidth="1"/>
    <col min="9" max="9" width="11.7109375" style="8" customWidth="1"/>
    <col min="10" max="10" width="71.7109375" customWidth="1"/>
    <col min="11" max="11" width="15.140625" customWidth="1"/>
    <col min="12" max="12" width="11.7109375" customWidth="1"/>
    <col min="13" max="13" width="10.42578125" bestFit="1" customWidth="1"/>
    <col min="14" max="14" width="16" style="162" customWidth="1"/>
    <col min="15" max="15" width="10.5703125" bestFit="1" customWidth="1"/>
    <col min="16" max="16" width="9.5703125" bestFit="1" customWidth="1"/>
    <col min="17" max="17" width="11.5703125" customWidth="1"/>
    <col min="18" max="19" width="12.85546875" customWidth="1"/>
    <col min="20" max="20" width="13.5703125" customWidth="1"/>
    <col min="21" max="21" width="23.85546875" customWidth="1"/>
  </cols>
  <sheetData>
    <row r="1" spans="1:44" s="4" customFormat="1" ht="63" x14ac:dyDescent="0.25">
      <c r="A1" s="18" t="s">
        <v>0</v>
      </c>
      <c r="B1" s="18" t="s">
        <v>324</v>
      </c>
      <c r="C1" s="18" t="s">
        <v>325</v>
      </c>
      <c r="D1" s="19" t="s">
        <v>1</v>
      </c>
      <c r="E1" s="19" t="s">
        <v>2</v>
      </c>
      <c r="F1" s="19" t="s">
        <v>28</v>
      </c>
      <c r="G1" s="19" t="s">
        <v>253</v>
      </c>
      <c r="H1" s="20" t="s">
        <v>29</v>
      </c>
      <c r="I1" s="20" t="s">
        <v>323</v>
      </c>
      <c r="J1" s="18" t="s">
        <v>30</v>
      </c>
      <c r="K1" s="25" t="s">
        <v>26</v>
      </c>
      <c r="L1" s="19" t="s">
        <v>31</v>
      </c>
      <c r="M1" s="26" t="s">
        <v>254</v>
      </c>
      <c r="N1" s="18" t="s">
        <v>27</v>
      </c>
      <c r="O1" s="143" t="s">
        <v>32</v>
      </c>
      <c r="P1" s="143"/>
      <c r="Q1" s="143" t="s">
        <v>255</v>
      </c>
      <c r="R1" s="143"/>
      <c r="S1" s="93" t="s">
        <v>318</v>
      </c>
      <c r="T1" s="93" t="s">
        <v>319</v>
      </c>
      <c r="U1" s="93" t="s">
        <v>320</v>
      </c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5" customFormat="1" ht="42" customHeight="1" x14ac:dyDescent="0.35">
      <c r="A2" s="16"/>
      <c r="B2" s="16"/>
      <c r="C2" s="16"/>
      <c r="H2" s="7"/>
      <c r="I2" s="76" t="s">
        <v>263</v>
      </c>
      <c r="O2" s="17" t="s">
        <v>3</v>
      </c>
      <c r="P2" s="17" t="s">
        <v>4</v>
      </c>
      <c r="Q2" s="17" t="s">
        <v>3</v>
      </c>
      <c r="R2" s="17" t="s">
        <v>5</v>
      </c>
      <c r="S2" s="17"/>
      <c r="T2" s="29"/>
      <c r="U2" s="29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s="12" customFormat="1" x14ac:dyDescent="0.25">
      <c r="A3" s="10"/>
      <c r="B3" s="10"/>
      <c r="C3" s="10"/>
      <c r="D3" s="13" t="s">
        <v>25</v>
      </c>
      <c r="E3" s="10"/>
      <c r="F3" s="10"/>
      <c r="G3" s="10"/>
      <c r="H3" s="11"/>
      <c r="I3" s="11"/>
      <c r="J3" s="13"/>
      <c r="K3" s="13"/>
      <c r="L3" s="13"/>
      <c r="M3" s="13"/>
      <c r="N3" s="10"/>
      <c r="O3" s="13"/>
      <c r="P3" s="13"/>
      <c r="Q3" s="13"/>
      <c r="R3" s="13"/>
      <c r="S3" s="13"/>
      <c r="T3" s="150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pans="1:44" s="22" customFormat="1" x14ac:dyDescent="0.25">
      <c r="A4" s="121">
        <v>1</v>
      </c>
      <c r="B4" s="121"/>
      <c r="C4" s="121"/>
      <c r="D4" s="37" t="s">
        <v>9</v>
      </c>
      <c r="E4" s="108" t="s">
        <v>8</v>
      </c>
      <c r="F4" s="121" t="s">
        <v>168</v>
      </c>
      <c r="G4" s="121" t="s">
        <v>38</v>
      </c>
      <c r="H4" s="112" t="s">
        <v>168</v>
      </c>
      <c r="I4" s="126">
        <v>0.33400000000000002</v>
      </c>
      <c r="J4" s="36" t="s">
        <v>317</v>
      </c>
      <c r="K4" s="134" t="s">
        <v>10</v>
      </c>
      <c r="L4" s="37" t="s">
        <v>258</v>
      </c>
      <c r="M4" s="37" t="s">
        <v>306</v>
      </c>
      <c r="N4" s="153"/>
      <c r="O4" s="114">
        <v>742.98</v>
      </c>
      <c r="P4" s="114">
        <f>O4+(O4*0.21)</f>
        <v>899.00580000000002</v>
      </c>
      <c r="Q4" s="114">
        <v>14859.6</v>
      </c>
      <c r="R4" s="114">
        <f t="shared" ref="R4:R11" si="0">Q4+(Q4*0.21)</f>
        <v>17980.116000000002</v>
      </c>
      <c r="S4" s="173"/>
      <c r="T4" s="152">
        <f>I4*20</f>
        <v>6.6800000000000006</v>
      </c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</row>
    <row r="5" spans="1:44" s="3" customFormat="1" x14ac:dyDescent="0.25">
      <c r="A5" s="96">
        <v>2</v>
      </c>
      <c r="B5" s="96"/>
      <c r="C5" s="96"/>
      <c r="D5" s="122" t="s">
        <v>7</v>
      </c>
      <c r="E5" s="122" t="s">
        <v>6</v>
      </c>
      <c r="F5" s="69" t="s">
        <v>308</v>
      </c>
      <c r="G5" s="123" t="s">
        <v>256</v>
      </c>
      <c r="H5" s="115" t="s">
        <v>296</v>
      </c>
      <c r="I5" s="127">
        <v>21.7</v>
      </c>
      <c r="J5" s="36" t="s">
        <v>300</v>
      </c>
      <c r="K5" s="135"/>
      <c r="L5" s="36" t="s">
        <v>258</v>
      </c>
      <c r="M5" s="36" t="s">
        <v>306</v>
      </c>
      <c r="N5" s="154"/>
      <c r="O5" s="111">
        <v>11999</v>
      </c>
      <c r="P5" s="111">
        <f>O5+(O5*0.21)</f>
        <v>14518.79</v>
      </c>
      <c r="Q5" s="111">
        <v>47996</v>
      </c>
      <c r="R5" s="111">
        <f t="shared" si="0"/>
        <v>58075.16</v>
      </c>
      <c r="S5" s="111"/>
      <c r="T5" s="149">
        <f>I5*4</f>
        <v>86.8</v>
      </c>
      <c r="U5" s="22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</row>
    <row r="6" spans="1:44" s="2" customFormat="1" x14ac:dyDescent="0.25">
      <c r="A6" s="94">
        <v>3</v>
      </c>
      <c r="B6" s="94"/>
      <c r="C6" s="94"/>
      <c r="D6" s="116" t="s">
        <v>307</v>
      </c>
      <c r="E6" s="124" t="s">
        <v>295</v>
      </c>
      <c r="F6" s="132" t="s">
        <v>309</v>
      </c>
      <c r="G6" s="125" t="s">
        <v>256</v>
      </c>
      <c r="H6" s="117" t="s">
        <v>168</v>
      </c>
      <c r="I6" s="128">
        <v>3.84</v>
      </c>
      <c r="J6" s="98" t="s">
        <v>301</v>
      </c>
      <c r="K6" s="120" t="s">
        <v>305</v>
      </c>
      <c r="L6" s="98" t="s">
        <v>258</v>
      </c>
      <c r="M6" s="120" t="s">
        <v>306</v>
      </c>
      <c r="N6" s="155"/>
      <c r="O6" s="118">
        <v>610.74</v>
      </c>
      <c r="P6" s="118">
        <v>739</v>
      </c>
      <c r="Q6" s="118">
        <f>O6*20</f>
        <v>12214.8</v>
      </c>
      <c r="R6" s="118">
        <v>14780</v>
      </c>
      <c r="S6" s="111"/>
      <c r="T6" s="149">
        <f>I6*20</f>
        <v>76.8</v>
      </c>
      <c r="U6" s="22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</row>
    <row r="7" spans="1:44" s="2" customFormat="1" x14ac:dyDescent="0.25">
      <c r="A7" s="94">
        <v>4</v>
      </c>
      <c r="B7" s="94"/>
      <c r="C7" s="94"/>
      <c r="D7" s="124" t="s">
        <v>35</v>
      </c>
      <c r="E7" s="124" t="s">
        <v>36</v>
      </c>
      <c r="F7" s="132" t="s">
        <v>310</v>
      </c>
      <c r="G7" s="125" t="s">
        <v>39</v>
      </c>
      <c r="H7" s="119" t="s">
        <v>297</v>
      </c>
      <c r="I7" s="128">
        <v>1</v>
      </c>
      <c r="J7" s="98" t="s">
        <v>302</v>
      </c>
      <c r="K7" s="120" t="s">
        <v>10</v>
      </c>
      <c r="L7" s="98" t="s">
        <v>258</v>
      </c>
      <c r="M7" s="98" t="s">
        <v>306</v>
      </c>
      <c r="N7" s="155"/>
      <c r="O7" s="118">
        <v>368</v>
      </c>
      <c r="P7" s="118">
        <v>445.28</v>
      </c>
      <c r="Q7" s="118">
        <v>5520</v>
      </c>
      <c r="R7" s="118">
        <v>6679</v>
      </c>
      <c r="S7" s="111"/>
      <c r="T7" s="149">
        <f>I7*15</f>
        <v>15</v>
      </c>
      <c r="U7" s="22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</row>
    <row r="8" spans="1:44" x14ac:dyDescent="0.25">
      <c r="A8" s="121">
        <v>5</v>
      </c>
      <c r="B8" s="121"/>
      <c r="C8" s="121"/>
      <c r="D8" s="108" t="s">
        <v>11</v>
      </c>
      <c r="E8" s="108" t="s">
        <v>12</v>
      </c>
      <c r="F8" s="121" t="s">
        <v>311</v>
      </c>
      <c r="G8" s="108" t="s">
        <v>38</v>
      </c>
      <c r="H8" s="113" t="s">
        <v>298</v>
      </c>
      <c r="I8" s="126">
        <v>9.8000000000000007</v>
      </c>
      <c r="J8" s="37" t="s">
        <v>303</v>
      </c>
      <c r="K8" s="134" t="s">
        <v>13</v>
      </c>
      <c r="L8" s="37" t="s">
        <v>258</v>
      </c>
      <c r="M8" s="37" t="s">
        <v>258</v>
      </c>
      <c r="N8" s="153"/>
      <c r="O8" s="114">
        <v>730</v>
      </c>
      <c r="P8" s="114">
        <f>O8+(O8*0.21)</f>
        <v>883.3</v>
      </c>
      <c r="Q8" s="114">
        <v>51100</v>
      </c>
      <c r="R8" s="114">
        <f t="shared" si="0"/>
        <v>61831</v>
      </c>
      <c r="S8" s="173"/>
      <c r="T8" s="147">
        <f>I8*70</f>
        <v>686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pans="1:44" x14ac:dyDescent="0.25">
      <c r="A9" s="96">
        <v>6</v>
      </c>
      <c r="B9" s="96"/>
      <c r="C9" s="96"/>
      <c r="D9" s="122" t="s">
        <v>15</v>
      </c>
      <c r="E9" s="122" t="s">
        <v>14</v>
      </c>
      <c r="F9" s="96" t="s">
        <v>312</v>
      </c>
      <c r="G9" s="122" t="s">
        <v>256</v>
      </c>
      <c r="H9" s="24" t="s">
        <v>299</v>
      </c>
      <c r="I9" s="127">
        <v>0.1</v>
      </c>
      <c r="J9" s="36" t="s">
        <v>304</v>
      </c>
      <c r="K9" s="135"/>
      <c r="L9" s="36" t="s">
        <v>258</v>
      </c>
      <c r="M9" s="68" t="s">
        <v>306</v>
      </c>
      <c r="N9" s="154"/>
      <c r="O9" s="111">
        <v>25</v>
      </c>
      <c r="P9" s="111">
        <f>O9+(O9*0.21)</f>
        <v>30.25</v>
      </c>
      <c r="Q9" s="111">
        <v>75000</v>
      </c>
      <c r="R9" s="111">
        <f>Q9+(Q9*0.21)</f>
        <v>90750</v>
      </c>
      <c r="S9" s="111"/>
      <c r="T9" s="149">
        <f>I9*3000</f>
        <v>300</v>
      </c>
      <c r="U9" s="22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x14ac:dyDescent="0.25">
      <c r="A10" s="94">
        <v>7</v>
      </c>
      <c r="B10" s="94"/>
      <c r="C10" s="94"/>
      <c r="D10" s="124" t="s">
        <v>17</v>
      </c>
      <c r="E10" s="124" t="s">
        <v>16</v>
      </c>
      <c r="F10" s="94" t="s">
        <v>321</v>
      </c>
      <c r="G10" s="124" t="s">
        <v>256</v>
      </c>
      <c r="H10" s="129" t="s">
        <v>328</v>
      </c>
      <c r="I10" s="131">
        <v>0.7</v>
      </c>
      <c r="J10" s="95" t="s">
        <v>315</v>
      </c>
      <c r="K10" s="120" t="s">
        <v>33</v>
      </c>
      <c r="L10" s="98" t="s">
        <v>258</v>
      </c>
      <c r="M10" s="98" t="s">
        <v>257</v>
      </c>
      <c r="N10" s="155"/>
      <c r="O10" s="118">
        <v>297.5</v>
      </c>
      <c r="P10" s="118">
        <f>O10+(O10*0.21)</f>
        <v>359.97500000000002</v>
      </c>
      <c r="Q10" s="118">
        <v>148750</v>
      </c>
      <c r="R10" s="118">
        <f t="shared" si="0"/>
        <v>179987.5</v>
      </c>
      <c r="S10" s="111"/>
      <c r="T10" s="149">
        <f>I10*500</f>
        <v>350</v>
      </c>
      <c r="U10" s="22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44" x14ac:dyDescent="0.25">
      <c r="A11" s="96">
        <v>8</v>
      </c>
      <c r="B11" s="96"/>
      <c r="C11" s="96"/>
      <c r="D11" s="122" t="s">
        <v>19</v>
      </c>
      <c r="E11" s="122" t="s">
        <v>18</v>
      </c>
      <c r="F11" s="96" t="s">
        <v>313</v>
      </c>
      <c r="G11" s="122" t="s">
        <v>38</v>
      </c>
      <c r="H11" s="130" t="s">
        <v>314</v>
      </c>
      <c r="I11" s="87">
        <v>19</v>
      </c>
      <c r="J11" s="77" t="s">
        <v>316</v>
      </c>
      <c r="K11" s="9" t="s">
        <v>34</v>
      </c>
      <c r="L11" s="35" t="s">
        <v>258</v>
      </c>
      <c r="M11" s="35" t="s">
        <v>264</v>
      </c>
      <c r="N11" s="154"/>
      <c r="O11" s="111">
        <v>248</v>
      </c>
      <c r="P11" s="111">
        <f>O11+(O11*0.21)</f>
        <v>300.08</v>
      </c>
      <c r="Q11" s="111">
        <v>186000</v>
      </c>
      <c r="R11" s="111">
        <f t="shared" si="0"/>
        <v>225060</v>
      </c>
      <c r="S11" s="111"/>
      <c r="T11" s="149">
        <f>I11*750</f>
        <v>14250</v>
      </c>
      <c r="U11" s="22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s="2" customFormat="1" ht="14.45" customHeight="1" x14ac:dyDescent="0.25">
      <c r="A12" s="46"/>
      <c r="B12" s="46"/>
      <c r="C12" s="46"/>
      <c r="D12" s="47" t="s">
        <v>252</v>
      </c>
      <c r="E12" s="47"/>
      <c r="F12" s="47"/>
      <c r="G12" s="45"/>
      <c r="H12" s="48"/>
      <c r="I12" s="48"/>
      <c r="J12" s="47"/>
      <c r="K12" s="47"/>
      <c r="L12" s="47"/>
      <c r="M12" s="47"/>
      <c r="N12" s="46"/>
      <c r="O12" s="47"/>
      <c r="P12" s="47"/>
      <c r="Q12" s="47"/>
      <c r="R12" s="47"/>
      <c r="S12" s="174"/>
      <c r="T12" s="12"/>
      <c r="U12" s="12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s="6" customFormat="1" x14ac:dyDescent="0.25">
      <c r="A13" s="94">
        <v>9</v>
      </c>
      <c r="B13" s="95"/>
      <c r="C13" s="68"/>
      <c r="D13" s="9" t="s">
        <v>71</v>
      </c>
      <c r="E13" s="96" t="s">
        <v>72</v>
      </c>
      <c r="F13" s="96" t="s">
        <v>73</v>
      </c>
      <c r="G13" s="36" t="s">
        <v>39</v>
      </c>
      <c r="H13" s="50" t="s">
        <v>164</v>
      </c>
      <c r="I13" s="81">
        <v>23.5</v>
      </c>
      <c r="J13" s="34" t="s">
        <v>101</v>
      </c>
      <c r="K13" s="97" t="s">
        <v>74</v>
      </c>
      <c r="L13" s="98" t="s">
        <v>258</v>
      </c>
      <c r="M13" s="92" t="s">
        <v>294</v>
      </c>
      <c r="N13" s="156"/>
      <c r="O13" s="64">
        <v>19560</v>
      </c>
      <c r="P13" s="63">
        <f>O13*1.21</f>
        <v>23667.599999999999</v>
      </c>
      <c r="Q13" s="64">
        <f>O13*7</f>
        <v>136920</v>
      </c>
      <c r="R13" s="64">
        <f>P13*7</f>
        <v>165673.19999999998</v>
      </c>
      <c r="S13" s="133"/>
      <c r="T13" s="149">
        <f>7*I13</f>
        <v>164.5</v>
      </c>
      <c r="U13" s="22"/>
    </row>
    <row r="14" spans="1:44" ht="15" customHeight="1" x14ac:dyDescent="0.25">
      <c r="A14" s="99">
        <v>10</v>
      </c>
      <c r="B14" s="78"/>
      <c r="C14" s="78"/>
      <c r="D14" s="35" t="s">
        <v>62</v>
      </c>
      <c r="E14" s="35" t="s">
        <v>61</v>
      </c>
      <c r="F14" s="35" t="s">
        <v>53</v>
      </c>
      <c r="G14" s="35" t="s">
        <v>38</v>
      </c>
      <c r="H14" s="51" t="s">
        <v>109</v>
      </c>
      <c r="I14" s="70">
        <v>0.14299999999999999</v>
      </c>
      <c r="J14" s="35" t="s">
        <v>41</v>
      </c>
      <c r="K14" s="139" t="s">
        <v>24</v>
      </c>
      <c r="L14" s="35" t="s">
        <v>258</v>
      </c>
      <c r="M14" s="35" t="s">
        <v>262</v>
      </c>
      <c r="N14" s="4"/>
      <c r="O14" s="89">
        <v>9.3370899999999999</v>
      </c>
      <c r="P14" s="62">
        <f>O14*1.21</f>
        <v>11.297878899999999</v>
      </c>
      <c r="Q14" s="89">
        <v>933.71</v>
      </c>
      <c r="R14" s="56">
        <f>Q14*1.21</f>
        <v>1129.7891</v>
      </c>
      <c r="S14" s="56"/>
      <c r="T14" s="147">
        <f>100*I14</f>
        <v>14.299999999999999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x14ac:dyDescent="0.25">
      <c r="A15" s="99">
        <v>11</v>
      </c>
      <c r="B15" s="78"/>
      <c r="C15" s="78"/>
      <c r="D15" s="35" t="s">
        <v>62</v>
      </c>
      <c r="E15" s="35" t="s">
        <v>61</v>
      </c>
      <c r="F15" s="35" t="s">
        <v>53</v>
      </c>
      <c r="G15" s="35" t="s">
        <v>38</v>
      </c>
      <c r="H15" s="51" t="s">
        <v>110</v>
      </c>
      <c r="I15" s="71">
        <v>0.92300000000000004</v>
      </c>
      <c r="J15" s="35" t="s">
        <v>42</v>
      </c>
      <c r="K15" s="139"/>
      <c r="L15" s="35" t="s">
        <v>258</v>
      </c>
      <c r="M15" s="35" t="s">
        <v>258</v>
      </c>
      <c r="N15" s="4"/>
      <c r="O15" s="89">
        <v>62.674259999999997</v>
      </c>
      <c r="P15" s="56">
        <f t="shared" ref="P15:P36" si="1">O15*1.21</f>
        <v>75.83585459999999</v>
      </c>
      <c r="Q15" s="89">
        <v>9401.14</v>
      </c>
      <c r="R15" s="56">
        <f t="shared" ref="R15:R36" si="2">Q15*1.21</f>
        <v>11375.3794</v>
      </c>
      <c r="S15" s="56"/>
      <c r="T15" s="147">
        <f>I15*150</f>
        <v>138.45000000000002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44" x14ac:dyDescent="0.25">
      <c r="A16" s="99">
        <v>12</v>
      </c>
      <c r="B16" s="78"/>
      <c r="C16" s="78"/>
      <c r="D16" s="35" t="s">
        <v>62</v>
      </c>
      <c r="E16" s="35" t="s">
        <v>61</v>
      </c>
      <c r="F16" s="35" t="s">
        <v>53</v>
      </c>
      <c r="G16" s="35" t="s">
        <v>38</v>
      </c>
      <c r="H16" s="51" t="s">
        <v>109</v>
      </c>
      <c r="I16" s="71">
        <v>1.0620000000000001</v>
      </c>
      <c r="J16" s="35" t="s">
        <v>43</v>
      </c>
      <c r="K16" s="139"/>
      <c r="L16" s="35" t="s">
        <v>258</v>
      </c>
      <c r="M16" s="35" t="s">
        <v>258</v>
      </c>
      <c r="N16" s="4"/>
      <c r="O16" s="89">
        <v>61.987499999999997</v>
      </c>
      <c r="P16" s="56">
        <f t="shared" si="1"/>
        <v>75.004874999999998</v>
      </c>
      <c r="Q16" s="89">
        <v>6198.75</v>
      </c>
      <c r="R16" s="56">
        <f t="shared" si="2"/>
        <v>7500.4875000000002</v>
      </c>
      <c r="S16" s="56"/>
      <c r="T16" s="147">
        <f>I16*100</f>
        <v>106.2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x14ac:dyDescent="0.25">
      <c r="A17" s="99">
        <v>13</v>
      </c>
      <c r="B17" s="78"/>
      <c r="C17" s="78"/>
      <c r="D17" s="35" t="s">
        <v>62</v>
      </c>
      <c r="E17" s="35" t="s">
        <v>61</v>
      </c>
      <c r="F17" s="35" t="s">
        <v>53</v>
      </c>
      <c r="G17" s="35" t="s">
        <v>38</v>
      </c>
      <c r="H17" s="51" t="s">
        <v>111</v>
      </c>
      <c r="I17" s="71">
        <v>0.42099999999999999</v>
      </c>
      <c r="J17" s="35" t="s">
        <v>44</v>
      </c>
      <c r="K17" s="139"/>
      <c r="L17" s="35" t="s">
        <v>258</v>
      </c>
      <c r="M17" s="35" t="s">
        <v>258</v>
      </c>
      <c r="N17" s="4"/>
      <c r="O17" s="89">
        <v>28.07086</v>
      </c>
      <c r="P17" s="56">
        <f t="shared" si="1"/>
        <v>33.965740599999997</v>
      </c>
      <c r="Q17" s="89">
        <v>5614.17</v>
      </c>
      <c r="R17" s="56">
        <f t="shared" si="2"/>
        <v>6793.1457</v>
      </c>
      <c r="S17" s="56"/>
      <c r="T17" s="147">
        <f>200*I17</f>
        <v>84.2</v>
      </c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x14ac:dyDescent="0.25">
      <c r="A18" s="99">
        <v>14</v>
      </c>
      <c r="B18" s="78"/>
      <c r="C18" s="78"/>
      <c r="D18" s="35" t="s">
        <v>62</v>
      </c>
      <c r="E18" s="35" t="s">
        <v>61</v>
      </c>
      <c r="F18" s="35" t="s">
        <v>53</v>
      </c>
      <c r="G18" s="35" t="s">
        <v>38</v>
      </c>
      <c r="H18" s="51" t="s">
        <v>112</v>
      </c>
      <c r="I18" s="71">
        <v>0.56399999999999995</v>
      </c>
      <c r="J18" s="35" t="s">
        <v>45</v>
      </c>
      <c r="K18" s="139"/>
      <c r="L18" s="35" t="s">
        <v>258</v>
      </c>
      <c r="M18" s="35" t="s">
        <v>258</v>
      </c>
      <c r="N18" s="4"/>
      <c r="O18" s="89">
        <v>45.92295</v>
      </c>
      <c r="P18" s="56">
        <f t="shared" si="1"/>
        <v>55.566769499999999</v>
      </c>
      <c r="Q18" s="89">
        <v>4133.07</v>
      </c>
      <c r="R18" s="56">
        <f t="shared" si="2"/>
        <v>5001.0146999999997</v>
      </c>
      <c r="S18" s="56"/>
      <c r="T18" s="147">
        <f>90*I18</f>
        <v>50.76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x14ac:dyDescent="0.25">
      <c r="A19" s="99">
        <v>15</v>
      </c>
      <c r="B19" s="78"/>
      <c r="C19" s="78"/>
      <c r="D19" s="35" t="s">
        <v>62</v>
      </c>
      <c r="E19" s="35" t="s">
        <v>61</v>
      </c>
      <c r="F19" s="35" t="s">
        <v>53</v>
      </c>
      <c r="G19" s="35" t="s">
        <v>38</v>
      </c>
      <c r="H19" s="51" t="s">
        <v>111</v>
      </c>
      <c r="I19" s="71">
        <v>0.57299999999999995</v>
      </c>
      <c r="J19" s="35" t="s">
        <v>46</v>
      </c>
      <c r="K19" s="139"/>
      <c r="L19" s="35" t="s">
        <v>258</v>
      </c>
      <c r="M19" s="35" t="s">
        <v>258</v>
      </c>
      <c r="N19" s="4"/>
      <c r="O19" s="89">
        <v>36.576860000000003</v>
      </c>
      <c r="P19" s="56">
        <f t="shared" si="1"/>
        <v>44.258000600000003</v>
      </c>
      <c r="Q19" s="89">
        <v>7315.37</v>
      </c>
      <c r="R19" s="56">
        <f t="shared" si="2"/>
        <v>8851.5977000000003</v>
      </c>
      <c r="S19" s="56"/>
      <c r="T19" s="147">
        <f>200*I19</f>
        <v>114.6</v>
      </c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x14ac:dyDescent="0.25">
      <c r="A20" s="99">
        <v>16</v>
      </c>
      <c r="B20" s="78"/>
      <c r="C20" s="78"/>
      <c r="D20" s="35" t="s">
        <v>62</v>
      </c>
      <c r="E20" s="35" t="s">
        <v>61</v>
      </c>
      <c r="F20" s="35" t="s">
        <v>53</v>
      </c>
      <c r="G20" s="35" t="s">
        <v>38</v>
      </c>
      <c r="H20" s="51" t="s">
        <v>111</v>
      </c>
      <c r="I20" s="71">
        <v>9.5000000000000001E-2</v>
      </c>
      <c r="J20" s="35" t="s">
        <v>47</v>
      </c>
      <c r="K20" s="139"/>
      <c r="L20" s="35" t="s">
        <v>258</v>
      </c>
      <c r="M20" s="35" t="s">
        <v>258</v>
      </c>
      <c r="N20" s="4"/>
      <c r="O20" s="89">
        <v>8.5126000000000008</v>
      </c>
      <c r="P20" s="56">
        <f t="shared" si="1"/>
        <v>10.300246000000001</v>
      </c>
      <c r="Q20" s="89">
        <v>1702.52</v>
      </c>
      <c r="R20" s="56">
        <f t="shared" si="2"/>
        <v>2060.0491999999999</v>
      </c>
      <c r="S20" s="56"/>
      <c r="T20" s="147">
        <f>200*I20</f>
        <v>19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x14ac:dyDescent="0.25">
      <c r="A21" s="99">
        <v>17</v>
      </c>
      <c r="B21" s="78"/>
      <c r="C21" s="78"/>
      <c r="D21" s="35" t="s">
        <v>62</v>
      </c>
      <c r="E21" s="35" t="s">
        <v>61</v>
      </c>
      <c r="F21" s="35" t="s">
        <v>53</v>
      </c>
      <c r="G21" s="35" t="s">
        <v>38</v>
      </c>
      <c r="H21" s="51" t="s">
        <v>109</v>
      </c>
      <c r="I21" s="71">
        <v>0.54600000000000004</v>
      </c>
      <c r="J21" s="35" t="s">
        <v>48</v>
      </c>
      <c r="K21" s="139"/>
      <c r="L21" s="35" t="s">
        <v>258</v>
      </c>
      <c r="M21" s="35" t="s">
        <v>258</v>
      </c>
      <c r="N21" s="4"/>
      <c r="O21" s="89">
        <v>35.221719999999998</v>
      </c>
      <c r="P21" s="56">
        <f t="shared" si="1"/>
        <v>42.618281199999998</v>
      </c>
      <c r="Q21" s="89">
        <v>3522.17</v>
      </c>
      <c r="R21" s="56">
        <f t="shared" si="2"/>
        <v>4261.8257000000003</v>
      </c>
      <c r="S21" s="56"/>
      <c r="T21" s="147">
        <f>100*I21</f>
        <v>54.6</v>
      </c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x14ac:dyDescent="0.25">
      <c r="A22" s="99">
        <v>18</v>
      </c>
      <c r="B22" s="78"/>
      <c r="C22" s="78"/>
      <c r="D22" s="35" t="s">
        <v>62</v>
      </c>
      <c r="E22" s="35" t="s">
        <v>61</v>
      </c>
      <c r="F22" s="35" t="s">
        <v>53</v>
      </c>
      <c r="G22" s="35" t="s">
        <v>38</v>
      </c>
      <c r="H22" s="51" t="s">
        <v>110</v>
      </c>
      <c r="I22" s="71">
        <v>2.2040000000000002</v>
      </c>
      <c r="J22" s="35" t="s">
        <v>49</v>
      </c>
      <c r="K22" s="139"/>
      <c r="L22" s="35" t="s">
        <v>258</v>
      </c>
      <c r="M22" s="35" t="s">
        <v>258</v>
      </c>
      <c r="N22" s="4"/>
      <c r="O22" s="89">
        <v>154.52780000000001</v>
      </c>
      <c r="P22" s="56">
        <f t="shared" si="1"/>
        <v>186.97863800000002</v>
      </c>
      <c r="Q22" s="89">
        <v>23179.17</v>
      </c>
      <c r="R22" s="56">
        <f t="shared" si="2"/>
        <v>28046.795699999999</v>
      </c>
      <c r="S22" s="56"/>
      <c r="T22" s="147">
        <f>150*I22</f>
        <v>330.6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x14ac:dyDescent="0.25">
      <c r="A23" s="99">
        <v>19</v>
      </c>
      <c r="B23" s="78"/>
      <c r="C23" s="78"/>
      <c r="D23" s="35" t="s">
        <v>62</v>
      </c>
      <c r="E23" s="35" t="s">
        <v>61</v>
      </c>
      <c r="F23" s="35" t="s">
        <v>53</v>
      </c>
      <c r="G23" s="35" t="s">
        <v>38</v>
      </c>
      <c r="H23" s="51" t="s">
        <v>109</v>
      </c>
      <c r="I23" s="71">
        <v>0.30199999999999999</v>
      </c>
      <c r="J23" s="35" t="s">
        <v>50</v>
      </c>
      <c r="K23" s="139"/>
      <c r="L23" s="35" t="s">
        <v>258</v>
      </c>
      <c r="M23" s="35" t="s">
        <v>258</v>
      </c>
      <c r="N23" s="4"/>
      <c r="O23" s="89">
        <v>27.00432</v>
      </c>
      <c r="P23" s="56">
        <f t="shared" si="1"/>
        <v>32.675227200000002</v>
      </c>
      <c r="Q23" s="89">
        <v>2700.43</v>
      </c>
      <c r="R23" s="56">
        <f t="shared" si="2"/>
        <v>3267.5202999999997</v>
      </c>
      <c r="S23" s="56"/>
      <c r="T23" s="147">
        <f>100*I23</f>
        <v>30.2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x14ac:dyDescent="0.25">
      <c r="A24" s="99">
        <v>20</v>
      </c>
      <c r="B24" s="78"/>
      <c r="C24" s="78"/>
      <c r="D24" s="35" t="s">
        <v>62</v>
      </c>
      <c r="E24" s="35" t="s">
        <v>61</v>
      </c>
      <c r="F24" s="35" t="s">
        <v>53</v>
      </c>
      <c r="G24" s="35" t="s">
        <v>156</v>
      </c>
      <c r="H24" s="51" t="s">
        <v>113</v>
      </c>
      <c r="I24" s="71">
        <v>0.125</v>
      </c>
      <c r="J24" s="35" t="s">
        <v>51</v>
      </c>
      <c r="K24" s="139"/>
      <c r="L24" s="35" t="s">
        <v>258</v>
      </c>
      <c r="M24" s="35" t="s">
        <v>258</v>
      </c>
      <c r="N24" s="4"/>
      <c r="O24" s="89">
        <v>12.45299</v>
      </c>
      <c r="P24" s="56">
        <f t="shared" si="1"/>
        <v>15.068117899999999</v>
      </c>
      <c r="Q24" s="89">
        <v>1369.83</v>
      </c>
      <c r="R24" s="56">
        <f t="shared" si="2"/>
        <v>1657.4942999999998</v>
      </c>
      <c r="S24" s="56"/>
      <c r="T24" s="147">
        <f>110*I24</f>
        <v>13.75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x14ac:dyDescent="0.25">
      <c r="A25" s="99">
        <v>21</v>
      </c>
      <c r="B25" s="78"/>
      <c r="C25" s="78"/>
      <c r="D25" s="35" t="s">
        <v>64</v>
      </c>
      <c r="E25" s="35" t="s">
        <v>55</v>
      </c>
      <c r="F25" s="35" t="s">
        <v>54</v>
      </c>
      <c r="G25" s="35" t="s">
        <v>38</v>
      </c>
      <c r="H25" s="51" t="s">
        <v>114</v>
      </c>
      <c r="I25" s="71">
        <v>25.41</v>
      </c>
      <c r="J25" s="35" t="s">
        <v>115</v>
      </c>
      <c r="K25" s="139"/>
      <c r="L25" s="35" t="s">
        <v>258</v>
      </c>
      <c r="M25" s="35" t="s">
        <v>258</v>
      </c>
      <c r="N25" s="4"/>
      <c r="O25" s="89">
        <v>1038.2733900000001</v>
      </c>
      <c r="P25" s="56">
        <f t="shared" si="1"/>
        <v>1256.3108019000001</v>
      </c>
      <c r="Q25" s="89">
        <v>7267.91</v>
      </c>
      <c r="R25" s="56">
        <f t="shared" si="2"/>
        <v>8794.1710999999996</v>
      </c>
      <c r="S25" s="56"/>
      <c r="T25" s="147">
        <f>7*I25</f>
        <v>177.87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x14ac:dyDescent="0.25">
      <c r="A26" s="99">
        <v>22</v>
      </c>
      <c r="B26" s="78"/>
      <c r="C26" s="78"/>
      <c r="D26" s="35" t="s">
        <v>64</v>
      </c>
      <c r="E26" s="35" t="s">
        <v>55</v>
      </c>
      <c r="F26" s="35" t="s">
        <v>54</v>
      </c>
      <c r="G26" s="35" t="s">
        <v>38</v>
      </c>
      <c r="H26" s="51" t="s">
        <v>116</v>
      </c>
      <c r="I26" s="71">
        <v>38.5</v>
      </c>
      <c r="J26" s="35" t="s">
        <v>117</v>
      </c>
      <c r="K26" s="139"/>
      <c r="L26" s="35" t="s">
        <v>258</v>
      </c>
      <c r="M26" s="35" t="s">
        <v>258</v>
      </c>
      <c r="N26" s="4"/>
      <c r="O26" s="89">
        <v>1414.1358</v>
      </c>
      <c r="P26" s="56">
        <f t="shared" si="1"/>
        <v>1711.1043179999999</v>
      </c>
      <c r="Q26" s="89">
        <v>5656.54</v>
      </c>
      <c r="R26" s="56">
        <f t="shared" si="2"/>
        <v>6844.4133999999995</v>
      </c>
      <c r="S26" s="56"/>
      <c r="T26" s="147">
        <f>4*I26</f>
        <v>154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x14ac:dyDescent="0.25">
      <c r="A27" s="99">
        <v>23</v>
      </c>
      <c r="B27" s="78"/>
      <c r="C27" s="78"/>
      <c r="D27" s="35" t="s">
        <v>64</v>
      </c>
      <c r="E27" s="35" t="s">
        <v>55</v>
      </c>
      <c r="F27" s="35" t="s">
        <v>54</v>
      </c>
      <c r="G27" s="35" t="s">
        <v>38</v>
      </c>
      <c r="H27" s="51" t="s">
        <v>124</v>
      </c>
      <c r="I27" s="71">
        <v>38.5</v>
      </c>
      <c r="J27" s="35" t="s">
        <v>269</v>
      </c>
      <c r="K27" s="139"/>
      <c r="L27" s="35" t="s">
        <v>258</v>
      </c>
      <c r="M27" s="35" t="s">
        <v>258</v>
      </c>
      <c r="N27" s="4"/>
      <c r="O27" s="89">
        <v>1414.14</v>
      </c>
      <c r="P27" s="56">
        <f t="shared" si="1"/>
        <v>1711.1094000000001</v>
      </c>
      <c r="Q27" s="89">
        <v>1414.14</v>
      </c>
      <c r="R27" s="56">
        <f t="shared" si="2"/>
        <v>1711.1094000000001</v>
      </c>
      <c r="S27" s="56"/>
      <c r="T27" s="147">
        <f>1*I27</f>
        <v>38.5</v>
      </c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x14ac:dyDescent="0.25">
      <c r="A28" s="99">
        <v>24</v>
      </c>
      <c r="B28" s="78"/>
      <c r="C28" s="78"/>
      <c r="D28" s="35" t="s">
        <v>64</v>
      </c>
      <c r="E28" s="35" t="s">
        <v>55</v>
      </c>
      <c r="F28" s="35" t="s">
        <v>54</v>
      </c>
      <c r="G28" s="35" t="s">
        <v>38</v>
      </c>
      <c r="H28" s="51" t="s">
        <v>125</v>
      </c>
      <c r="I28" s="71">
        <v>17.850000000000001</v>
      </c>
      <c r="J28" s="35" t="s">
        <v>157</v>
      </c>
      <c r="K28" s="139"/>
      <c r="L28" s="35" t="s">
        <v>258</v>
      </c>
      <c r="M28" s="35" t="s">
        <v>258</v>
      </c>
      <c r="N28" s="4"/>
      <c r="O28" s="89">
        <v>921.375</v>
      </c>
      <c r="P28" s="56">
        <f t="shared" si="1"/>
        <v>1114.86375</v>
      </c>
      <c r="Q28" s="89">
        <v>5528.25</v>
      </c>
      <c r="R28" s="56">
        <f t="shared" si="2"/>
        <v>6689.1824999999999</v>
      </c>
      <c r="S28" s="56"/>
      <c r="T28" s="147">
        <f>6*I28</f>
        <v>107.10000000000001</v>
      </c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4" x14ac:dyDescent="0.25">
      <c r="A29" s="99">
        <v>25</v>
      </c>
      <c r="B29" s="78"/>
      <c r="C29" s="78"/>
      <c r="D29" s="35" t="s">
        <v>64</v>
      </c>
      <c r="E29" s="35" t="s">
        <v>55</v>
      </c>
      <c r="F29" s="35" t="s">
        <v>54</v>
      </c>
      <c r="G29" s="35" t="s">
        <v>38</v>
      </c>
      <c r="H29" s="51" t="s">
        <v>125</v>
      </c>
      <c r="I29" s="71">
        <v>29.04</v>
      </c>
      <c r="J29" s="35" t="s">
        <v>158</v>
      </c>
      <c r="K29" s="139"/>
      <c r="L29" s="35" t="s">
        <v>258</v>
      </c>
      <c r="M29" s="35" t="s">
        <v>258</v>
      </c>
      <c r="N29" s="4"/>
      <c r="O29" s="89">
        <v>926.64</v>
      </c>
      <c r="P29" s="56">
        <f t="shared" si="1"/>
        <v>1121.2344000000001</v>
      </c>
      <c r="Q29" s="89">
        <v>5559.84</v>
      </c>
      <c r="R29" s="56">
        <f t="shared" si="2"/>
        <v>6727.4063999999998</v>
      </c>
      <c r="S29" s="56"/>
      <c r="T29" s="147">
        <f>6*I29</f>
        <v>174.24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x14ac:dyDescent="0.25">
      <c r="A30" s="99">
        <v>26</v>
      </c>
      <c r="B30" s="78"/>
      <c r="C30" s="78"/>
      <c r="D30" s="35" t="s">
        <v>64</v>
      </c>
      <c r="E30" s="35" t="s">
        <v>55</v>
      </c>
      <c r="F30" s="35" t="s">
        <v>54</v>
      </c>
      <c r="G30" s="35" t="s">
        <v>38</v>
      </c>
      <c r="H30" s="51" t="s">
        <v>126</v>
      </c>
      <c r="I30" s="71">
        <v>17.864000000000001</v>
      </c>
      <c r="J30" s="35" t="s">
        <v>159</v>
      </c>
      <c r="K30" s="139"/>
      <c r="L30" s="35" t="s">
        <v>258</v>
      </c>
      <c r="M30" s="35" t="s">
        <v>258</v>
      </c>
      <c r="N30" s="4"/>
      <c r="O30" s="89">
        <v>622.04999999999995</v>
      </c>
      <c r="P30" s="56">
        <f t="shared" si="1"/>
        <v>752.68049999999994</v>
      </c>
      <c r="Q30" s="89">
        <v>4976.3999999999996</v>
      </c>
      <c r="R30" s="56">
        <f t="shared" si="2"/>
        <v>6021.4439999999995</v>
      </c>
      <c r="S30" s="56"/>
      <c r="T30" s="147">
        <f>8*I30</f>
        <v>142.91200000000001</v>
      </c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x14ac:dyDescent="0.25">
      <c r="A31" s="99">
        <v>27</v>
      </c>
      <c r="B31" s="78"/>
      <c r="C31" s="78"/>
      <c r="D31" s="35" t="s">
        <v>65</v>
      </c>
      <c r="E31" s="14" t="s">
        <v>56</v>
      </c>
      <c r="F31" s="35" t="s">
        <v>52</v>
      </c>
      <c r="G31" s="35" t="s">
        <v>38</v>
      </c>
      <c r="H31" s="51" t="s">
        <v>127</v>
      </c>
      <c r="I31" s="71">
        <v>10</v>
      </c>
      <c r="J31" s="33" t="s">
        <v>261</v>
      </c>
      <c r="K31" s="139"/>
      <c r="L31" s="35" t="s">
        <v>258</v>
      </c>
      <c r="M31" s="35" t="s">
        <v>258</v>
      </c>
      <c r="N31" s="4"/>
      <c r="O31" s="89">
        <v>403</v>
      </c>
      <c r="P31" s="56">
        <f t="shared" si="1"/>
        <v>487.63</v>
      </c>
      <c r="Q31" s="89">
        <v>18538</v>
      </c>
      <c r="R31" s="56">
        <f t="shared" si="2"/>
        <v>22430.98</v>
      </c>
      <c r="S31" s="56"/>
      <c r="T31" s="147">
        <f>46*I31</f>
        <v>460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x14ac:dyDescent="0.25">
      <c r="A32" s="99">
        <v>28</v>
      </c>
      <c r="B32" s="78"/>
      <c r="C32" s="78"/>
      <c r="D32" s="35" t="s">
        <v>66</v>
      </c>
      <c r="E32" s="14" t="s">
        <v>56</v>
      </c>
      <c r="F32" s="35" t="s">
        <v>52</v>
      </c>
      <c r="G32" s="35" t="s">
        <v>156</v>
      </c>
      <c r="H32" s="51" t="s">
        <v>119</v>
      </c>
      <c r="I32" s="71">
        <v>0.153</v>
      </c>
      <c r="J32" s="35" t="s">
        <v>160</v>
      </c>
      <c r="K32" s="139"/>
      <c r="L32" s="35" t="s">
        <v>258</v>
      </c>
      <c r="M32" s="35" t="s">
        <v>258</v>
      </c>
      <c r="N32" s="4"/>
      <c r="O32" s="89">
        <v>23.7133</v>
      </c>
      <c r="P32" s="56">
        <f t="shared" si="1"/>
        <v>28.693093000000001</v>
      </c>
      <c r="Q32" s="89">
        <v>3794.13</v>
      </c>
      <c r="R32" s="56">
        <f t="shared" si="2"/>
        <v>4590.8972999999996</v>
      </c>
      <c r="S32" s="56"/>
      <c r="T32" s="147">
        <f>160*I32</f>
        <v>24.48</v>
      </c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</row>
    <row r="33" spans="1:44" x14ac:dyDescent="0.25">
      <c r="A33" s="99">
        <v>29</v>
      </c>
      <c r="B33" s="78"/>
      <c r="C33" s="78"/>
      <c r="D33" s="35" t="s">
        <v>68</v>
      </c>
      <c r="E33" s="35" t="s">
        <v>70</v>
      </c>
      <c r="F33" s="14" t="s">
        <v>69</v>
      </c>
      <c r="G33" s="35" t="s">
        <v>38</v>
      </c>
      <c r="H33" s="51" t="s">
        <v>118</v>
      </c>
      <c r="I33" s="71">
        <v>8.5000000000000006E-2</v>
      </c>
      <c r="J33" s="35" t="s">
        <v>37</v>
      </c>
      <c r="K33" s="139"/>
      <c r="L33" s="35" t="s">
        <v>258</v>
      </c>
      <c r="M33" s="35" t="s">
        <v>258</v>
      </c>
      <c r="N33" s="4"/>
      <c r="O33" s="89">
        <v>10.8104</v>
      </c>
      <c r="P33" s="56">
        <f t="shared" si="1"/>
        <v>13.080583999999998</v>
      </c>
      <c r="Q33" s="89">
        <v>4324.16</v>
      </c>
      <c r="R33" s="56">
        <f t="shared" si="2"/>
        <v>5232.2335999999996</v>
      </c>
      <c r="S33" s="56"/>
      <c r="T33" s="147">
        <f>400*I33</f>
        <v>34</v>
      </c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4" x14ac:dyDescent="0.25">
      <c r="A34" s="99">
        <v>30</v>
      </c>
      <c r="B34" s="78"/>
      <c r="C34" s="78"/>
      <c r="D34" s="35" t="s">
        <v>67</v>
      </c>
      <c r="E34" s="14" t="s">
        <v>63</v>
      </c>
      <c r="F34" s="14" t="s">
        <v>57</v>
      </c>
      <c r="G34" s="35" t="s">
        <v>38</v>
      </c>
      <c r="H34" s="51" t="s">
        <v>111</v>
      </c>
      <c r="I34" s="71">
        <v>6.0000000000000001E-3</v>
      </c>
      <c r="J34" s="35" t="s">
        <v>58</v>
      </c>
      <c r="K34" s="139"/>
      <c r="L34" s="35" t="s">
        <v>258</v>
      </c>
      <c r="M34" s="35" t="s">
        <v>258</v>
      </c>
      <c r="N34" s="4"/>
      <c r="O34" s="89">
        <v>4.1339399999999999</v>
      </c>
      <c r="P34" s="56">
        <f t="shared" si="1"/>
        <v>5.0020673999999996</v>
      </c>
      <c r="Q34" s="89">
        <v>826.79</v>
      </c>
      <c r="R34" s="56">
        <f t="shared" si="2"/>
        <v>1000.4159</v>
      </c>
      <c r="S34" s="56"/>
      <c r="T34" s="147">
        <f>200*I34</f>
        <v>1.2</v>
      </c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x14ac:dyDescent="0.25">
      <c r="A35" s="99">
        <v>31</v>
      </c>
      <c r="B35" s="78"/>
      <c r="C35" s="78"/>
      <c r="D35" s="35" t="s">
        <v>67</v>
      </c>
      <c r="E35" s="14" t="s">
        <v>63</v>
      </c>
      <c r="F35" s="14" t="s">
        <v>57</v>
      </c>
      <c r="G35" s="35" t="s">
        <v>38</v>
      </c>
      <c r="H35" s="51" t="s">
        <v>111</v>
      </c>
      <c r="I35" s="71">
        <v>2.5000000000000001E-2</v>
      </c>
      <c r="J35" s="35" t="s">
        <v>59</v>
      </c>
      <c r="K35" s="139"/>
      <c r="L35" s="35" t="s">
        <v>258</v>
      </c>
      <c r="M35" s="35" t="s">
        <v>258</v>
      </c>
      <c r="N35" s="4"/>
      <c r="O35" s="89">
        <v>5.2804000000000002</v>
      </c>
      <c r="P35" s="56">
        <f t="shared" si="1"/>
        <v>6.389284</v>
      </c>
      <c r="Q35" s="89">
        <v>1056.08</v>
      </c>
      <c r="R35" s="56">
        <f t="shared" si="2"/>
        <v>1277.8567999999998</v>
      </c>
      <c r="S35" s="56"/>
      <c r="T35" s="147">
        <f>200*I35</f>
        <v>5</v>
      </c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x14ac:dyDescent="0.25">
      <c r="A36" s="96">
        <v>32</v>
      </c>
      <c r="B36" s="68"/>
      <c r="C36" s="68"/>
      <c r="D36" s="36" t="s">
        <v>67</v>
      </c>
      <c r="E36" s="30" t="s">
        <v>63</v>
      </c>
      <c r="F36" s="30" t="s">
        <v>57</v>
      </c>
      <c r="G36" s="36" t="s">
        <v>38</v>
      </c>
      <c r="H36" s="52" t="s">
        <v>120</v>
      </c>
      <c r="I36" s="72">
        <v>7.4999999999999997E-2</v>
      </c>
      <c r="J36" s="36" t="s">
        <v>60</v>
      </c>
      <c r="K36" s="140"/>
      <c r="L36" s="36" t="s">
        <v>258</v>
      </c>
      <c r="M36" s="36" t="s">
        <v>258</v>
      </c>
      <c r="N36" s="5"/>
      <c r="O36" s="90">
        <v>5.7571000000000003</v>
      </c>
      <c r="P36" s="57">
        <f t="shared" si="1"/>
        <v>6.9660910000000005</v>
      </c>
      <c r="Q36" s="90">
        <v>1727.13</v>
      </c>
      <c r="R36" s="57">
        <f t="shared" si="2"/>
        <v>2089.8272999999999</v>
      </c>
      <c r="S36" s="57"/>
      <c r="T36" s="149">
        <f>300*I36</f>
        <v>22.5</v>
      </c>
      <c r="U36" s="22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x14ac:dyDescent="0.25">
      <c r="A37" s="99">
        <v>33</v>
      </c>
      <c r="B37" s="78"/>
      <c r="C37" s="78"/>
      <c r="D37" s="15" t="s">
        <v>75</v>
      </c>
      <c r="E37" s="1" t="s">
        <v>85</v>
      </c>
      <c r="F37" s="31" t="s">
        <v>77</v>
      </c>
      <c r="G37" s="15" t="s">
        <v>156</v>
      </c>
      <c r="H37" s="53" t="s">
        <v>128</v>
      </c>
      <c r="I37" s="71">
        <v>3.84</v>
      </c>
      <c r="J37" s="15" t="s">
        <v>76</v>
      </c>
      <c r="K37" s="141" t="s">
        <v>24</v>
      </c>
      <c r="L37" s="35" t="s">
        <v>258</v>
      </c>
      <c r="M37" s="35" t="s">
        <v>258</v>
      </c>
      <c r="N37" s="4"/>
      <c r="O37" s="66">
        <v>588.16800000000001</v>
      </c>
      <c r="P37" s="59">
        <f>O37*1.21</f>
        <v>711.68327999999997</v>
      </c>
      <c r="Q37" s="66">
        <v>5293.51</v>
      </c>
      <c r="R37" s="59">
        <f>Q37*1.21</f>
        <v>6405.1471000000001</v>
      </c>
      <c r="S37" s="59"/>
      <c r="T37" s="147">
        <f>9*I37</f>
        <v>34.56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x14ac:dyDescent="0.25">
      <c r="A38" s="99">
        <v>34</v>
      </c>
      <c r="B38" s="78"/>
      <c r="C38" s="78"/>
      <c r="D38" s="15" t="s">
        <v>75</v>
      </c>
      <c r="E38" s="1" t="s">
        <v>85</v>
      </c>
      <c r="F38" s="31" t="s">
        <v>78</v>
      </c>
      <c r="G38" s="15" t="s">
        <v>156</v>
      </c>
      <c r="H38" s="53" t="s">
        <v>129</v>
      </c>
      <c r="I38" s="71">
        <v>1.9</v>
      </c>
      <c r="J38" s="15" t="s">
        <v>81</v>
      </c>
      <c r="K38" s="142"/>
      <c r="L38" s="35" t="s">
        <v>258</v>
      </c>
      <c r="M38" s="35" t="s">
        <v>258</v>
      </c>
      <c r="N38" s="4"/>
      <c r="O38" s="66">
        <v>309.60000000000002</v>
      </c>
      <c r="P38" s="59">
        <f t="shared" ref="P38:P46" si="3">O38*1.21</f>
        <v>374.61600000000004</v>
      </c>
      <c r="Q38" s="66">
        <v>9907.2000000000007</v>
      </c>
      <c r="R38" s="59">
        <f t="shared" ref="R38:R46" si="4">Q38*1.21</f>
        <v>11987.712000000001</v>
      </c>
      <c r="S38" s="59"/>
      <c r="T38" s="147">
        <f>I38*32</f>
        <v>60.8</v>
      </c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x14ac:dyDescent="0.25">
      <c r="A39" s="99">
        <v>35</v>
      </c>
      <c r="B39" s="78"/>
      <c r="C39" s="78"/>
      <c r="D39" s="15" t="s">
        <v>75</v>
      </c>
      <c r="E39" s="1" t="s">
        <v>85</v>
      </c>
      <c r="F39" s="31" t="s">
        <v>79</v>
      </c>
      <c r="G39" s="15" t="s">
        <v>156</v>
      </c>
      <c r="H39" s="53" t="s">
        <v>130</v>
      </c>
      <c r="I39" s="71">
        <v>4.2</v>
      </c>
      <c r="J39" s="15" t="s">
        <v>82</v>
      </c>
      <c r="K39" s="142"/>
      <c r="L39" s="35" t="s">
        <v>258</v>
      </c>
      <c r="M39" s="35" t="s">
        <v>258</v>
      </c>
      <c r="N39" s="4"/>
      <c r="O39" s="66">
        <v>398.75</v>
      </c>
      <c r="P39" s="59">
        <f t="shared" si="3"/>
        <v>482.48750000000001</v>
      </c>
      <c r="Q39" s="66">
        <v>14753.75</v>
      </c>
      <c r="R39" s="59">
        <f t="shared" si="4"/>
        <v>17852.037499999999</v>
      </c>
      <c r="S39" s="59"/>
      <c r="T39" s="147">
        <f>I39*37</f>
        <v>155.4</v>
      </c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x14ac:dyDescent="0.25">
      <c r="A40" s="99">
        <v>36</v>
      </c>
      <c r="B40" s="78"/>
      <c r="C40" s="78"/>
      <c r="D40" s="15" t="s">
        <v>75</v>
      </c>
      <c r="E40" s="1" t="s">
        <v>85</v>
      </c>
      <c r="F40" s="31" t="s">
        <v>80</v>
      </c>
      <c r="G40" s="15" t="s">
        <v>156</v>
      </c>
      <c r="H40" s="53" t="s">
        <v>131</v>
      </c>
      <c r="I40" s="71">
        <v>6.1950000000000003</v>
      </c>
      <c r="J40" s="15" t="s">
        <v>83</v>
      </c>
      <c r="K40" s="142"/>
      <c r="L40" s="35" t="s">
        <v>258</v>
      </c>
      <c r="M40" s="35" t="s">
        <v>258</v>
      </c>
      <c r="N40" s="4"/>
      <c r="O40" s="66">
        <v>901.8</v>
      </c>
      <c r="P40" s="59">
        <f t="shared" si="3"/>
        <v>1091.1779999999999</v>
      </c>
      <c r="Q40" s="66">
        <v>2705.4</v>
      </c>
      <c r="R40" s="59">
        <f t="shared" si="4"/>
        <v>3273.5340000000001</v>
      </c>
      <c r="S40" s="59"/>
      <c r="T40" s="147">
        <f>I40*3</f>
        <v>18.585000000000001</v>
      </c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</row>
    <row r="41" spans="1:44" x14ac:dyDescent="0.25">
      <c r="A41" s="99">
        <v>37</v>
      </c>
      <c r="B41" s="78"/>
      <c r="C41" s="78"/>
      <c r="D41" s="15" t="s">
        <v>84</v>
      </c>
      <c r="E41" s="77" t="s">
        <v>86</v>
      </c>
      <c r="F41" s="14" t="s">
        <v>87</v>
      </c>
      <c r="G41" s="15" t="s">
        <v>156</v>
      </c>
      <c r="H41" s="53" t="s">
        <v>20</v>
      </c>
      <c r="I41" s="71">
        <v>2.6</v>
      </c>
      <c r="J41" s="15" t="s">
        <v>88</v>
      </c>
      <c r="K41" s="142"/>
      <c r="L41" s="35" t="s">
        <v>258</v>
      </c>
      <c r="M41" s="35" t="s">
        <v>258</v>
      </c>
      <c r="N41" s="4"/>
      <c r="O41" s="66">
        <v>189</v>
      </c>
      <c r="P41" s="59">
        <f t="shared" si="3"/>
        <v>228.69</v>
      </c>
      <c r="Q41" s="66">
        <v>15120</v>
      </c>
      <c r="R41" s="59">
        <f t="shared" si="4"/>
        <v>18295.2</v>
      </c>
      <c r="S41" s="59"/>
      <c r="T41" s="147">
        <f>I41*80</f>
        <v>208</v>
      </c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x14ac:dyDescent="0.25">
      <c r="A42" s="99">
        <v>38</v>
      </c>
      <c r="B42" s="78"/>
      <c r="C42" s="78"/>
      <c r="D42" s="15" t="s">
        <v>89</v>
      </c>
      <c r="E42" s="77" t="s">
        <v>90</v>
      </c>
      <c r="F42" s="77" t="s">
        <v>91</v>
      </c>
      <c r="G42" s="15" t="s">
        <v>38</v>
      </c>
      <c r="H42" s="53" t="s">
        <v>109</v>
      </c>
      <c r="I42" s="71">
        <v>0.20899999999999999</v>
      </c>
      <c r="J42" s="15" t="s">
        <v>92</v>
      </c>
      <c r="K42" s="142"/>
      <c r="L42" s="35" t="s">
        <v>258</v>
      </c>
      <c r="M42" s="35" t="s">
        <v>258</v>
      </c>
      <c r="N42" s="4"/>
      <c r="O42" s="66">
        <v>47.003999999999998</v>
      </c>
      <c r="P42" s="59">
        <f t="shared" si="3"/>
        <v>56.874839999999999</v>
      </c>
      <c r="Q42" s="66">
        <v>4700.3999999999996</v>
      </c>
      <c r="R42" s="59">
        <f t="shared" si="4"/>
        <v>5687.4839999999995</v>
      </c>
      <c r="S42" s="59"/>
      <c r="T42" s="147">
        <f>I42*100</f>
        <v>20.9</v>
      </c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1:44" x14ac:dyDescent="0.25">
      <c r="A43" s="99">
        <v>39</v>
      </c>
      <c r="B43" s="78"/>
      <c r="C43" s="78"/>
      <c r="D43" s="15" t="s">
        <v>93</v>
      </c>
      <c r="E43" s="77" t="s">
        <v>94</v>
      </c>
      <c r="F43" s="77" t="s">
        <v>91</v>
      </c>
      <c r="G43" s="15" t="s">
        <v>38</v>
      </c>
      <c r="H43" s="53" t="s">
        <v>121</v>
      </c>
      <c r="I43" s="71">
        <v>0.15</v>
      </c>
      <c r="J43" s="15" t="s">
        <v>95</v>
      </c>
      <c r="K43" s="142"/>
      <c r="L43" s="35" t="s">
        <v>258</v>
      </c>
      <c r="M43" s="35" t="s">
        <v>258</v>
      </c>
      <c r="N43" s="4"/>
      <c r="O43" s="66">
        <v>24.89</v>
      </c>
      <c r="P43" s="59">
        <f t="shared" si="3"/>
        <v>30.116900000000001</v>
      </c>
      <c r="Q43" s="66">
        <v>746.7</v>
      </c>
      <c r="R43" s="59">
        <f t="shared" si="4"/>
        <v>903.50700000000006</v>
      </c>
      <c r="S43" s="59"/>
      <c r="T43" s="147">
        <f>I43*30</f>
        <v>4.5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</row>
    <row r="44" spans="1:44" x14ac:dyDescent="0.25">
      <c r="A44" s="99">
        <v>40</v>
      </c>
      <c r="B44" s="78"/>
      <c r="C44" s="78"/>
      <c r="D44" s="15" t="s">
        <v>93</v>
      </c>
      <c r="E44" s="77" t="s">
        <v>94</v>
      </c>
      <c r="F44" s="77" t="s">
        <v>91</v>
      </c>
      <c r="G44" s="15" t="s">
        <v>38</v>
      </c>
      <c r="H44" s="53" t="s">
        <v>122</v>
      </c>
      <c r="I44" s="71">
        <v>0.15</v>
      </c>
      <c r="J44" s="15" t="s">
        <v>97</v>
      </c>
      <c r="K44" s="142"/>
      <c r="L44" s="35" t="s">
        <v>258</v>
      </c>
      <c r="M44" s="35" t="s">
        <v>258</v>
      </c>
      <c r="N44" s="4"/>
      <c r="O44" s="66">
        <v>30.4177</v>
      </c>
      <c r="P44" s="59">
        <f t="shared" si="3"/>
        <v>36.805416999999998</v>
      </c>
      <c r="Q44" s="66">
        <v>1825.06</v>
      </c>
      <c r="R44" s="59">
        <f t="shared" si="4"/>
        <v>2208.3226</v>
      </c>
      <c r="S44" s="59"/>
      <c r="T44" s="147">
        <f>I44*60</f>
        <v>9</v>
      </c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</row>
    <row r="45" spans="1:44" x14ac:dyDescent="0.25">
      <c r="A45" s="99">
        <v>41</v>
      </c>
      <c r="B45" s="78"/>
      <c r="C45" s="78"/>
      <c r="D45" s="15" t="s">
        <v>96</v>
      </c>
      <c r="E45" s="77" t="s">
        <v>23</v>
      </c>
      <c r="F45" s="77" t="s">
        <v>91</v>
      </c>
      <c r="G45" s="15" t="s">
        <v>38</v>
      </c>
      <c r="H45" s="53" t="s">
        <v>123</v>
      </c>
      <c r="I45" s="71">
        <v>0.15</v>
      </c>
      <c r="J45" s="15" t="s">
        <v>98</v>
      </c>
      <c r="K45" s="142"/>
      <c r="L45" s="35" t="s">
        <v>258</v>
      </c>
      <c r="M45" s="35" t="s">
        <v>258</v>
      </c>
      <c r="N45" s="4"/>
      <c r="O45" s="66">
        <v>35.769860000000001</v>
      </c>
      <c r="P45" s="59">
        <f t="shared" si="3"/>
        <v>43.281530600000004</v>
      </c>
      <c r="Q45" s="66">
        <v>357.7</v>
      </c>
      <c r="R45" s="59">
        <f t="shared" si="4"/>
        <v>432.81699999999995</v>
      </c>
      <c r="S45" s="59"/>
      <c r="T45" s="147">
        <f>I45*10</f>
        <v>1.5</v>
      </c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</row>
    <row r="46" spans="1:44" x14ac:dyDescent="0.25">
      <c r="A46" s="96">
        <v>42</v>
      </c>
      <c r="B46" s="68"/>
      <c r="C46" s="68"/>
      <c r="D46" s="68" t="s">
        <v>99</v>
      </c>
      <c r="E46" s="30" t="s">
        <v>100</v>
      </c>
      <c r="F46" s="30" t="s">
        <v>57</v>
      </c>
      <c r="G46" s="36" t="s">
        <v>38</v>
      </c>
      <c r="H46" s="52" t="s">
        <v>108</v>
      </c>
      <c r="I46" s="72">
        <v>1.1999999999999999E-3</v>
      </c>
      <c r="J46" s="68" t="s">
        <v>102</v>
      </c>
      <c r="K46" s="140"/>
      <c r="L46" s="36" t="s">
        <v>258</v>
      </c>
      <c r="M46" s="36" t="s">
        <v>258</v>
      </c>
      <c r="N46" s="5"/>
      <c r="O46" s="67">
        <v>48.727800000000002</v>
      </c>
      <c r="P46" s="57">
        <f t="shared" si="3"/>
        <v>58.960638000000003</v>
      </c>
      <c r="Q46" s="67">
        <v>97.46</v>
      </c>
      <c r="R46" s="57">
        <f t="shared" si="4"/>
        <v>117.92659999999999</v>
      </c>
      <c r="S46" s="57"/>
      <c r="T46" s="149">
        <f>I46*2</f>
        <v>2.3999999999999998E-3</v>
      </c>
      <c r="U46" s="22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</row>
    <row r="47" spans="1:44" ht="15" customHeight="1" x14ac:dyDescent="0.25">
      <c r="A47" s="99">
        <v>43</v>
      </c>
      <c r="B47" s="78"/>
      <c r="C47" s="78"/>
      <c r="D47" s="15" t="s">
        <v>198</v>
      </c>
      <c r="E47" s="14" t="s">
        <v>199</v>
      </c>
      <c r="F47" s="14" t="s">
        <v>140</v>
      </c>
      <c r="G47" s="15" t="s">
        <v>38</v>
      </c>
      <c r="H47" s="82" t="s">
        <v>168</v>
      </c>
      <c r="I47" s="70">
        <v>1.4</v>
      </c>
      <c r="J47" s="28" t="s">
        <v>200</v>
      </c>
      <c r="K47" s="136" t="s">
        <v>204</v>
      </c>
      <c r="L47" s="15" t="s">
        <v>258</v>
      </c>
      <c r="M47" s="15" t="s">
        <v>258</v>
      </c>
      <c r="N47" s="23"/>
      <c r="O47" s="66">
        <v>447.68</v>
      </c>
      <c r="P47" s="56">
        <f>O47*1.21</f>
        <v>541.69280000000003</v>
      </c>
      <c r="Q47" s="66">
        <v>8953.6</v>
      </c>
      <c r="R47" s="89">
        <v>10833.86</v>
      </c>
      <c r="S47" s="89"/>
      <c r="T47" s="147">
        <f>I47*20</f>
        <v>28</v>
      </c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</row>
    <row r="48" spans="1:44" x14ac:dyDescent="0.25">
      <c r="A48" s="99">
        <v>44</v>
      </c>
      <c r="B48" s="78"/>
      <c r="C48" s="78"/>
      <c r="D48" s="15" t="s">
        <v>201</v>
      </c>
      <c r="E48" s="14" t="s">
        <v>202</v>
      </c>
      <c r="F48" s="14" t="s">
        <v>140</v>
      </c>
      <c r="G48" s="35" t="s">
        <v>38</v>
      </c>
      <c r="H48" s="82" t="s">
        <v>168</v>
      </c>
      <c r="I48" s="71">
        <v>0.65</v>
      </c>
      <c r="J48" s="15" t="s">
        <v>203</v>
      </c>
      <c r="K48" s="137"/>
      <c r="L48" s="15" t="s">
        <v>258</v>
      </c>
      <c r="M48" s="84" t="s">
        <v>258</v>
      </c>
      <c r="N48" s="27"/>
      <c r="O48" s="66">
        <v>202.4</v>
      </c>
      <c r="P48" s="56">
        <f t="shared" ref="P48:P54" si="5">O48*1.21</f>
        <v>244.904</v>
      </c>
      <c r="Q48" s="66">
        <v>4048</v>
      </c>
      <c r="R48" s="89">
        <v>4898.08</v>
      </c>
      <c r="S48" s="89"/>
      <c r="T48" s="147">
        <f>I48*20</f>
        <v>13</v>
      </c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</row>
    <row r="49" spans="1:44" x14ac:dyDescent="0.25">
      <c r="A49" s="99">
        <v>45</v>
      </c>
      <c r="B49" s="78"/>
      <c r="C49" s="78"/>
      <c r="D49" s="15" t="s">
        <v>205</v>
      </c>
      <c r="E49" s="14" t="s">
        <v>206</v>
      </c>
      <c r="F49" s="14" t="s">
        <v>140</v>
      </c>
      <c r="G49" s="35" t="s">
        <v>38</v>
      </c>
      <c r="H49" s="82" t="s">
        <v>168</v>
      </c>
      <c r="I49" s="71">
        <v>0.33</v>
      </c>
      <c r="J49" s="15" t="s">
        <v>207</v>
      </c>
      <c r="K49" s="137"/>
      <c r="L49" s="15" t="s">
        <v>258</v>
      </c>
      <c r="M49" s="84" t="s">
        <v>258</v>
      </c>
      <c r="N49" s="27"/>
      <c r="O49" s="66">
        <v>99.8</v>
      </c>
      <c r="P49" s="56">
        <f t="shared" si="5"/>
        <v>120.758</v>
      </c>
      <c r="Q49" s="66">
        <v>1996</v>
      </c>
      <c r="R49" s="89">
        <v>2415.16</v>
      </c>
      <c r="S49" s="89"/>
      <c r="T49" s="147">
        <f>I49*20</f>
        <v>6.6000000000000005</v>
      </c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</row>
    <row r="50" spans="1:44" x14ac:dyDescent="0.25">
      <c r="A50" s="99">
        <v>46</v>
      </c>
      <c r="B50" s="78"/>
      <c r="C50" s="78"/>
      <c r="D50" s="15" t="s">
        <v>208</v>
      </c>
      <c r="E50" s="14" t="s">
        <v>209</v>
      </c>
      <c r="F50" s="14" t="s">
        <v>210</v>
      </c>
      <c r="G50" s="35" t="s">
        <v>38</v>
      </c>
      <c r="H50" s="82" t="s">
        <v>168</v>
      </c>
      <c r="I50" s="71">
        <v>0.16</v>
      </c>
      <c r="J50" s="15" t="s">
        <v>211</v>
      </c>
      <c r="K50" s="137"/>
      <c r="L50" s="15" t="s">
        <v>258</v>
      </c>
      <c r="M50" s="84" t="s">
        <v>258</v>
      </c>
      <c r="N50" s="27"/>
      <c r="O50" s="66">
        <v>63.5</v>
      </c>
      <c r="P50" s="56">
        <f t="shared" si="5"/>
        <v>76.834999999999994</v>
      </c>
      <c r="Q50" s="66">
        <v>1270</v>
      </c>
      <c r="R50" s="66">
        <v>1536.7</v>
      </c>
      <c r="S50" s="66"/>
      <c r="T50" s="147">
        <f>I50*20</f>
        <v>3.2</v>
      </c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</row>
    <row r="51" spans="1:44" x14ac:dyDescent="0.25">
      <c r="A51" s="99">
        <v>47</v>
      </c>
      <c r="B51" s="78"/>
      <c r="C51" s="78"/>
      <c r="D51" s="15" t="s">
        <v>212</v>
      </c>
      <c r="E51" s="14" t="s">
        <v>213</v>
      </c>
      <c r="F51" s="14" t="s">
        <v>140</v>
      </c>
      <c r="G51" s="35" t="s">
        <v>38</v>
      </c>
      <c r="H51" s="82" t="s">
        <v>123</v>
      </c>
      <c r="I51" s="71">
        <v>0.63</v>
      </c>
      <c r="J51" s="15" t="s">
        <v>214</v>
      </c>
      <c r="K51" s="137"/>
      <c r="L51" s="15" t="s">
        <v>258</v>
      </c>
      <c r="M51" s="84" t="s">
        <v>258</v>
      </c>
      <c r="N51" s="27"/>
      <c r="O51" s="66">
        <v>62.89</v>
      </c>
      <c r="P51" s="56">
        <f t="shared" si="5"/>
        <v>76.096900000000005</v>
      </c>
      <c r="Q51" s="66">
        <v>628.9</v>
      </c>
      <c r="R51" s="66">
        <v>760.97</v>
      </c>
      <c r="S51" s="66"/>
      <c r="T51" s="147">
        <f>I51*10</f>
        <v>6.3</v>
      </c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44" x14ac:dyDescent="0.25">
      <c r="A52" s="99">
        <v>48</v>
      </c>
      <c r="B52" s="78"/>
      <c r="C52" s="78"/>
      <c r="D52" s="15" t="s">
        <v>215</v>
      </c>
      <c r="E52" s="14" t="s">
        <v>216</v>
      </c>
      <c r="F52" s="14" t="s">
        <v>140</v>
      </c>
      <c r="G52" s="35" t="s">
        <v>38</v>
      </c>
      <c r="H52" s="82" t="s">
        <v>123</v>
      </c>
      <c r="I52" s="71">
        <v>0.24</v>
      </c>
      <c r="J52" s="15" t="s">
        <v>217</v>
      </c>
      <c r="K52" s="137"/>
      <c r="L52" s="15" t="s">
        <v>258</v>
      </c>
      <c r="M52" s="84" t="s">
        <v>258</v>
      </c>
      <c r="N52" s="27"/>
      <c r="O52" s="66">
        <v>39.979999999999997</v>
      </c>
      <c r="P52" s="56">
        <f t="shared" si="5"/>
        <v>48.375799999999998</v>
      </c>
      <c r="Q52" s="66">
        <v>399.8</v>
      </c>
      <c r="R52" s="66">
        <v>483.76</v>
      </c>
      <c r="S52" s="66"/>
      <c r="T52" s="147">
        <f>I52*10</f>
        <v>2.4</v>
      </c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44" x14ac:dyDescent="0.25">
      <c r="A53" s="99">
        <v>49</v>
      </c>
      <c r="B53" s="78"/>
      <c r="C53" s="78"/>
      <c r="D53" s="15" t="s">
        <v>218</v>
      </c>
      <c r="E53" s="14" t="s">
        <v>219</v>
      </c>
      <c r="F53" s="14" t="s">
        <v>210</v>
      </c>
      <c r="G53" s="35" t="s">
        <v>38</v>
      </c>
      <c r="H53" s="82" t="s">
        <v>107</v>
      </c>
      <c r="I53" s="71">
        <v>0.12</v>
      </c>
      <c r="J53" s="15" t="s">
        <v>211</v>
      </c>
      <c r="K53" s="137"/>
      <c r="L53" s="15" t="s">
        <v>258</v>
      </c>
      <c r="M53" s="84" t="s">
        <v>258</v>
      </c>
      <c r="N53" s="27"/>
      <c r="O53" s="66">
        <v>20.89</v>
      </c>
      <c r="P53" s="56">
        <f t="shared" si="5"/>
        <v>25.276900000000001</v>
      </c>
      <c r="Q53" s="66">
        <v>522.25</v>
      </c>
      <c r="R53" s="66">
        <v>631.91999999999996</v>
      </c>
      <c r="S53" s="66"/>
      <c r="T53" s="147">
        <f>I53*25</f>
        <v>3</v>
      </c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44" x14ac:dyDescent="0.25">
      <c r="A54" s="96">
        <v>50</v>
      </c>
      <c r="B54" s="68"/>
      <c r="C54" s="68"/>
      <c r="D54" s="68" t="s">
        <v>22</v>
      </c>
      <c r="E54" s="30" t="s">
        <v>21</v>
      </c>
      <c r="F54" s="30" t="s">
        <v>222</v>
      </c>
      <c r="G54" s="36" t="s">
        <v>38</v>
      </c>
      <c r="H54" s="83" t="s">
        <v>220</v>
      </c>
      <c r="I54" s="72">
        <v>6.0000000000000001E-3</v>
      </c>
      <c r="J54" s="68" t="s">
        <v>221</v>
      </c>
      <c r="K54" s="138"/>
      <c r="L54" s="68" t="s">
        <v>258</v>
      </c>
      <c r="M54" s="85" t="s">
        <v>257</v>
      </c>
      <c r="N54" s="157"/>
      <c r="O54" s="67">
        <v>5.46</v>
      </c>
      <c r="P54" s="56">
        <f t="shared" si="5"/>
        <v>6.6065999999999994</v>
      </c>
      <c r="Q54" s="67">
        <v>8190</v>
      </c>
      <c r="R54" s="67">
        <v>9909.9</v>
      </c>
      <c r="S54" s="67"/>
      <c r="T54" s="149">
        <f>I54*1500</f>
        <v>9</v>
      </c>
      <c r="U54" s="22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ht="15" customHeight="1" x14ac:dyDescent="0.25">
      <c r="A55" s="99">
        <v>51</v>
      </c>
      <c r="B55" s="78"/>
      <c r="C55" s="78"/>
      <c r="D55" s="28" t="s">
        <v>270</v>
      </c>
      <c r="E55" s="88" t="s">
        <v>271</v>
      </c>
      <c r="F55" s="88" t="s">
        <v>245</v>
      </c>
      <c r="G55" s="28" t="s">
        <v>40</v>
      </c>
      <c r="H55" s="54" t="s">
        <v>170</v>
      </c>
      <c r="I55" s="100">
        <v>13.125</v>
      </c>
      <c r="J55" s="101" t="s">
        <v>276</v>
      </c>
      <c r="K55" s="141" t="s">
        <v>251</v>
      </c>
      <c r="L55" s="37" t="s">
        <v>258</v>
      </c>
      <c r="M55" s="28" t="s">
        <v>259</v>
      </c>
      <c r="N55" s="158"/>
      <c r="O55" s="65">
        <v>1764.5</v>
      </c>
      <c r="P55" s="62">
        <v>2135.0500000000002</v>
      </c>
      <c r="Q55" s="65">
        <v>1764.5</v>
      </c>
      <c r="R55" s="91">
        <v>2135.0500000000002</v>
      </c>
      <c r="S55" s="89"/>
      <c r="T55" s="147">
        <f>I55*1</f>
        <v>13.125</v>
      </c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44" x14ac:dyDescent="0.25">
      <c r="A56" s="99">
        <v>52</v>
      </c>
      <c r="B56" s="78"/>
      <c r="C56" s="78"/>
      <c r="D56" s="15" t="s">
        <v>270</v>
      </c>
      <c r="E56" s="14" t="s">
        <v>271</v>
      </c>
      <c r="F56" s="14" t="s">
        <v>245</v>
      </c>
      <c r="G56" s="15" t="s">
        <v>40</v>
      </c>
      <c r="H56" s="51" t="s">
        <v>272</v>
      </c>
      <c r="I56" s="102">
        <v>12.5</v>
      </c>
      <c r="J56" s="103" t="s">
        <v>277</v>
      </c>
      <c r="K56" s="139"/>
      <c r="L56" s="35" t="s">
        <v>258</v>
      </c>
      <c r="M56" s="15" t="s">
        <v>259</v>
      </c>
      <c r="N56" s="23"/>
      <c r="O56" s="66">
        <v>1759.2</v>
      </c>
      <c r="P56" s="56">
        <f>R56/2</f>
        <v>2128.63</v>
      </c>
      <c r="Q56" s="66">
        <v>3518.4</v>
      </c>
      <c r="R56" s="89">
        <v>4257.26</v>
      </c>
      <c r="S56" s="89"/>
      <c r="T56" s="147">
        <f>I56*2</f>
        <v>25</v>
      </c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44" x14ac:dyDescent="0.25">
      <c r="A57" s="99">
        <v>53</v>
      </c>
      <c r="B57" s="78"/>
      <c r="C57" s="78"/>
      <c r="D57" s="15" t="s">
        <v>270</v>
      </c>
      <c r="E57" s="14" t="s">
        <v>271</v>
      </c>
      <c r="F57" s="14" t="s">
        <v>245</v>
      </c>
      <c r="G57" s="15" t="s">
        <v>40</v>
      </c>
      <c r="H57" s="51" t="s">
        <v>170</v>
      </c>
      <c r="I57" s="102">
        <v>12.5</v>
      </c>
      <c r="J57" s="103" t="s">
        <v>278</v>
      </c>
      <c r="K57" s="139"/>
      <c r="L57" s="35" t="s">
        <v>258</v>
      </c>
      <c r="M57" s="15" t="s">
        <v>259</v>
      </c>
      <c r="N57" s="23"/>
      <c r="O57" s="66">
        <v>1744.6</v>
      </c>
      <c r="P57" s="56">
        <f>R57</f>
        <v>2110.9699999999998</v>
      </c>
      <c r="Q57" s="66">
        <v>1744.6</v>
      </c>
      <c r="R57" s="89">
        <v>2110.9699999999998</v>
      </c>
      <c r="S57" s="89"/>
      <c r="T57" s="147">
        <f>I57*1</f>
        <v>12.5</v>
      </c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44" x14ac:dyDescent="0.25">
      <c r="A58" s="99">
        <v>54</v>
      </c>
      <c r="B58" s="78"/>
      <c r="C58" s="78"/>
      <c r="D58" s="15" t="s">
        <v>270</v>
      </c>
      <c r="E58" s="14" t="s">
        <v>271</v>
      </c>
      <c r="F58" s="14" t="s">
        <v>245</v>
      </c>
      <c r="G58" s="15" t="s">
        <v>40</v>
      </c>
      <c r="H58" s="51" t="s">
        <v>170</v>
      </c>
      <c r="I58" s="102">
        <v>19.690000000000001</v>
      </c>
      <c r="J58" s="103" t="s">
        <v>279</v>
      </c>
      <c r="K58" s="139"/>
      <c r="L58" s="35" t="s">
        <v>258</v>
      </c>
      <c r="M58" s="15" t="s">
        <v>259</v>
      </c>
      <c r="N58" s="23"/>
      <c r="O58" s="66">
        <v>2646.7</v>
      </c>
      <c r="P58" s="56">
        <f>R58</f>
        <v>3202.51</v>
      </c>
      <c r="Q58" s="66">
        <v>2646.7</v>
      </c>
      <c r="R58" s="89">
        <v>3202.51</v>
      </c>
      <c r="S58" s="89"/>
      <c r="T58" s="147">
        <f>I58*1</f>
        <v>19.690000000000001</v>
      </c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44" x14ac:dyDescent="0.25">
      <c r="A59" s="99">
        <v>55</v>
      </c>
      <c r="B59" s="78"/>
      <c r="C59" s="78"/>
      <c r="D59" s="15" t="s">
        <v>270</v>
      </c>
      <c r="E59" s="14" t="s">
        <v>271</v>
      </c>
      <c r="F59" s="14" t="s">
        <v>245</v>
      </c>
      <c r="G59" s="15" t="s">
        <v>40</v>
      </c>
      <c r="H59" s="51" t="s">
        <v>170</v>
      </c>
      <c r="I59" s="104">
        <v>11.5</v>
      </c>
      <c r="J59" s="103" t="s">
        <v>280</v>
      </c>
      <c r="K59" s="139"/>
      <c r="L59" s="35" t="s">
        <v>258</v>
      </c>
      <c r="M59" s="15" t="s">
        <v>259</v>
      </c>
      <c r="N59" s="23"/>
      <c r="O59" s="66">
        <v>1785.5</v>
      </c>
      <c r="P59" s="56">
        <f>R59</f>
        <v>2160.46</v>
      </c>
      <c r="Q59" s="66">
        <v>1785.5</v>
      </c>
      <c r="R59" s="89">
        <v>2160.46</v>
      </c>
      <c r="S59" s="89"/>
      <c r="T59" s="147">
        <f>I59*1</f>
        <v>11.5</v>
      </c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</row>
    <row r="60" spans="1:44" x14ac:dyDescent="0.25">
      <c r="A60" s="99">
        <v>56</v>
      </c>
      <c r="B60" s="78"/>
      <c r="C60" s="78"/>
      <c r="D60" s="15" t="s">
        <v>273</v>
      </c>
      <c r="E60" s="14" t="s">
        <v>274</v>
      </c>
      <c r="F60" s="14" t="s">
        <v>275</v>
      </c>
      <c r="G60" s="15" t="s">
        <v>40</v>
      </c>
      <c r="H60" s="51" t="s">
        <v>122</v>
      </c>
      <c r="I60" s="102">
        <v>0.04</v>
      </c>
      <c r="J60" s="103" t="s">
        <v>281</v>
      </c>
      <c r="K60" s="139"/>
      <c r="L60" s="35" t="s">
        <v>258</v>
      </c>
      <c r="M60" s="15" t="s">
        <v>259</v>
      </c>
      <c r="N60" s="23"/>
      <c r="O60" s="66">
        <v>16.399999999999999</v>
      </c>
      <c r="P60" s="56">
        <f>R60/60</f>
        <v>19.844000000000001</v>
      </c>
      <c r="Q60" s="66">
        <v>984</v>
      </c>
      <c r="R60" s="89">
        <v>1190.6400000000001</v>
      </c>
      <c r="S60" s="89"/>
      <c r="T60" s="147">
        <f>I60*60</f>
        <v>2.4</v>
      </c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</row>
    <row r="61" spans="1:44" x14ac:dyDescent="0.25">
      <c r="A61" s="99">
        <v>57</v>
      </c>
      <c r="B61" s="78"/>
      <c r="C61" s="78"/>
      <c r="D61" s="15" t="s">
        <v>273</v>
      </c>
      <c r="E61" s="14" t="s">
        <v>274</v>
      </c>
      <c r="F61" s="14" t="s">
        <v>275</v>
      </c>
      <c r="G61" s="15" t="s">
        <v>40</v>
      </c>
      <c r="H61" s="51" t="s">
        <v>122</v>
      </c>
      <c r="I61" s="102">
        <v>7.0000000000000007E-2</v>
      </c>
      <c r="J61" s="103" t="s">
        <v>282</v>
      </c>
      <c r="K61" s="139"/>
      <c r="L61" s="35" t="s">
        <v>258</v>
      </c>
      <c r="M61" s="15" t="s">
        <v>259</v>
      </c>
      <c r="N61" s="23"/>
      <c r="O61" s="66">
        <v>22.2</v>
      </c>
      <c r="P61" s="56">
        <f>R61/60</f>
        <v>26.862000000000002</v>
      </c>
      <c r="Q61" s="66">
        <v>1332</v>
      </c>
      <c r="R61" s="89">
        <v>1611.72</v>
      </c>
      <c r="S61" s="89"/>
      <c r="T61" s="147">
        <f>I61*60</f>
        <v>4.2</v>
      </c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</row>
    <row r="62" spans="1:44" x14ac:dyDescent="0.25">
      <c r="A62" s="99">
        <v>58</v>
      </c>
      <c r="B62" s="78"/>
      <c r="C62" s="78"/>
      <c r="D62" s="15" t="s">
        <v>273</v>
      </c>
      <c r="E62" s="14" t="s">
        <v>274</v>
      </c>
      <c r="F62" s="14" t="s">
        <v>275</v>
      </c>
      <c r="G62" s="15" t="s">
        <v>40</v>
      </c>
      <c r="H62" s="51" t="s">
        <v>122</v>
      </c>
      <c r="I62" s="102">
        <v>7.0000000000000007E-2</v>
      </c>
      <c r="J62" s="103" t="s">
        <v>283</v>
      </c>
      <c r="K62" s="139"/>
      <c r="L62" s="35" t="s">
        <v>258</v>
      </c>
      <c r="M62" s="15" t="s">
        <v>259</v>
      </c>
      <c r="N62" s="23"/>
      <c r="O62" s="66">
        <v>25.5</v>
      </c>
      <c r="P62" s="56">
        <f>R62/60</f>
        <v>30.855</v>
      </c>
      <c r="Q62" s="66">
        <v>1530</v>
      </c>
      <c r="R62" s="89">
        <v>1851.3</v>
      </c>
      <c r="S62" s="89"/>
      <c r="T62" s="147">
        <f>I62*60</f>
        <v>4.2</v>
      </c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</row>
    <row r="63" spans="1:44" x14ac:dyDescent="0.25">
      <c r="A63" s="99">
        <v>59</v>
      </c>
      <c r="B63" s="78"/>
      <c r="C63" s="78"/>
      <c r="D63" s="15" t="s">
        <v>273</v>
      </c>
      <c r="E63" s="14" t="s">
        <v>274</v>
      </c>
      <c r="F63" s="14" t="s">
        <v>275</v>
      </c>
      <c r="G63" s="15" t="s">
        <v>40</v>
      </c>
      <c r="H63" s="51" t="s">
        <v>122</v>
      </c>
      <c r="I63" s="102">
        <v>0.124</v>
      </c>
      <c r="J63" s="103" t="s">
        <v>284</v>
      </c>
      <c r="K63" s="139"/>
      <c r="L63" s="35" t="s">
        <v>258</v>
      </c>
      <c r="M63" s="15" t="s">
        <v>259</v>
      </c>
      <c r="N63" s="23"/>
      <c r="O63" s="66">
        <v>42</v>
      </c>
      <c r="P63" s="56">
        <f>R63/60</f>
        <v>50.82</v>
      </c>
      <c r="Q63" s="66">
        <v>2520</v>
      </c>
      <c r="R63" s="89">
        <v>3049.2</v>
      </c>
      <c r="S63" s="89"/>
      <c r="T63" s="147">
        <f>I63*60</f>
        <v>7.4399999999999995</v>
      </c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</row>
    <row r="64" spans="1:44" x14ac:dyDescent="0.25">
      <c r="A64" s="99">
        <v>60</v>
      </c>
      <c r="B64" s="78"/>
      <c r="C64" s="78"/>
      <c r="D64" s="15" t="s">
        <v>273</v>
      </c>
      <c r="E64" s="14" t="s">
        <v>274</v>
      </c>
      <c r="F64" s="14" t="s">
        <v>275</v>
      </c>
      <c r="G64" s="15" t="s">
        <v>40</v>
      </c>
      <c r="H64" s="51" t="s">
        <v>122</v>
      </c>
      <c r="I64" s="102">
        <v>0.12400000000000001</v>
      </c>
      <c r="J64" s="103" t="s">
        <v>285</v>
      </c>
      <c r="K64" s="139"/>
      <c r="L64" s="35" t="s">
        <v>258</v>
      </c>
      <c r="M64" s="15" t="s">
        <v>259</v>
      </c>
      <c r="N64" s="23"/>
      <c r="O64" s="66">
        <v>47</v>
      </c>
      <c r="P64" s="56">
        <f>R64/60</f>
        <v>56.87</v>
      </c>
      <c r="Q64" s="66">
        <v>2820</v>
      </c>
      <c r="R64" s="89">
        <v>3412.2</v>
      </c>
      <c r="S64" s="89"/>
      <c r="T64" s="147">
        <f>I64*60</f>
        <v>7.44</v>
      </c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x14ac:dyDescent="0.25">
      <c r="A65" s="99">
        <v>61</v>
      </c>
      <c r="B65" s="78"/>
      <c r="C65" s="78"/>
      <c r="D65" s="15" t="s">
        <v>273</v>
      </c>
      <c r="E65" s="14" t="s">
        <v>274</v>
      </c>
      <c r="F65" s="14" t="s">
        <v>275</v>
      </c>
      <c r="G65" s="15" t="s">
        <v>40</v>
      </c>
      <c r="H65" s="51" t="s">
        <v>287</v>
      </c>
      <c r="I65" s="102">
        <v>6.25E-2</v>
      </c>
      <c r="J65" s="103" t="s">
        <v>286</v>
      </c>
      <c r="K65" s="139"/>
      <c r="L65" s="35" t="s">
        <v>258</v>
      </c>
      <c r="M65" s="15" t="s">
        <v>259</v>
      </c>
      <c r="N65" s="23"/>
      <c r="O65" s="66">
        <v>12.6</v>
      </c>
      <c r="P65" s="56">
        <f>R65/50</f>
        <v>15.245999999999999</v>
      </c>
      <c r="Q65" s="66">
        <v>630</v>
      </c>
      <c r="R65" s="89">
        <v>762.3</v>
      </c>
      <c r="S65" s="89"/>
      <c r="T65" s="147">
        <f>I65*50</f>
        <v>3.125</v>
      </c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</row>
    <row r="66" spans="1:44" x14ac:dyDescent="0.25">
      <c r="A66" s="99">
        <v>62</v>
      </c>
      <c r="B66" s="78"/>
      <c r="C66" s="78"/>
      <c r="D66" s="15" t="s">
        <v>273</v>
      </c>
      <c r="E66" s="14" t="s">
        <v>274</v>
      </c>
      <c r="F66" s="14" t="s">
        <v>275</v>
      </c>
      <c r="G66" s="15" t="s">
        <v>40</v>
      </c>
      <c r="H66" s="51" t="s">
        <v>287</v>
      </c>
      <c r="I66" s="102">
        <v>3.7999999999999999E-2</v>
      </c>
      <c r="J66" s="103" t="s">
        <v>288</v>
      </c>
      <c r="K66" s="139"/>
      <c r="L66" s="35" t="s">
        <v>258</v>
      </c>
      <c r="M66" s="15" t="s">
        <v>259</v>
      </c>
      <c r="N66" s="23"/>
      <c r="O66" s="66">
        <v>23.6</v>
      </c>
      <c r="P66" s="56">
        <f>R66/50</f>
        <v>28.555999999999997</v>
      </c>
      <c r="Q66" s="66">
        <v>1180</v>
      </c>
      <c r="R66" s="89">
        <v>1427.8</v>
      </c>
      <c r="S66" s="89"/>
      <c r="T66" s="147">
        <f>50*I66</f>
        <v>1.9</v>
      </c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</row>
    <row r="67" spans="1:44" x14ac:dyDescent="0.25">
      <c r="A67" s="99">
        <v>63</v>
      </c>
      <c r="B67" s="78"/>
      <c r="C67" s="78"/>
      <c r="D67" s="15" t="s">
        <v>273</v>
      </c>
      <c r="E67" s="14" t="s">
        <v>274</v>
      </c>
      <c r="F67" s="14" t="s">
        <v>275</v>
      </c>
      <c r="G67" s="15" t="s">
        <v>40</v>
      </c>
      <c r="H67" s="51" t="s">
        <v>293</v>
      </c>
      <c r="I67" s="102">
        <v>0.02</v>
      </c>
      <c r="J67" s="103" t="s">
        <v>289</v>
      </c>
      <c r="K67" s="139"/>
      <c r="L67" s="35" t="s">
        <v>258</v>
      </c>
      <c r="M67" s="15" t="s">
        <v>259</v>
      </c>
      <c r="N67" s="23"/>
      <c r="O67" s="66">
        <v>8.6999999999999993</v>
      </c>
      <c r="P67" s="56">
        <f>R67/80</f>
        <v>10.526999999999999</v>
      </c>
      <c r="Q67" s="66">
        <v>696</v>
      </c>
      <c r="R67" s="89">
        <v>842.16</v>
      </c>
      <c r="S67" s="89"/>
      <c r="T67" s="147">
        <f>I67*80</f>
        <v>1.6</v>
      </c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x14ac:dyDescent="0.25">
      <c r="A68" s="99">
        <v>64</v>
      </c>
      <c r="B68" s="78"/>
      <c r="C68" s="78"/>
      <c r="D68" s="15" t="s">
        <v>273</v>
      </c>
      <c r="E68" s="14" t="s">
        <v>274</v>
      </c>
      <c r="F68" s="14" t="s">
        <v>275</v>
      </c>
      <c r="G68" s="15" t="s">
        <v>40</v>
      </c>
      <c r="H68" s="51" t="s">
        <v>293</v>
      </c>
      <c r="I68" s="102">
        <v>0.02</v>
      </c>
      <c r="J68" s="103" t="s">
        <v>290</v>
      </c>
      <c r="K68" s="139"/>
      <c r="L68" s="35" t="s">
        <v>258</v>
      </c>
      <c r="M68" s="15" t="s">
        <v>259</v>
      </c>
      <c r="N68" s="23"/>
      <c r="O68" s="66">
        <v>9.6</v>
      </c>
      <c r="P68" s="56">
        <f>R68/80</f>
        <v>11.616</v>
      </c>
      <c r="Q68" s="66">
        <v>768</v>
      </c>
      <c r="R68" s="89">
        <v>929.28</v>
      </c>
      <c r="S68" s="89"/>
      <c r="T68" s="147">
        <f>I68*80</f>
        <v>1.6</v>
      </c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</row>
    <row r="69" spans="1:44" x14ac:dyDescent="0.25">
      <c r="A69" s="99">
        <v>65</v>
      </c>
      <c r="B69" s="78"/>
      <c r="C69" s="78"/>
      <c r="D69" s="15" t="s">
        <v>273</v>
      </c>
      <c r="E69" s="14" t="s">
        <v>274</v>
      </c>
      <c r="F69" s="14" t="s">
        <v>275</v>
      </c>
      <c r="G69" s="15" t="s">
        <v>40</v>
      </c>
      <c r="H69" s="51" t="s">
        <v>293</v>
      </c>
      <c r="I69" s="102">
        <v>0.02</v>
      </c>
      <c r="J69" s="103" t="s">
        <v>291</v>
      </c>
      <c r="K69" s="139"/>
      <c r="L69" s="35" t="s">
        <v>258</v>
      </c>
      <c r="M69" s="15" t="s">
        <v>259</v>
      </c>
      <c r="N69" s="23"/>
      <c r="O69" s="66">
        <v>10.5</v>
      </c>
      <c r="P69" s="56">
        <f>Q69/80</f>
        <v>10.5</v>
      </c>
      <c r="Q69" s="66">
        <v>840</v>
      </c>
      <c r="R69" s="89">
        <v>1016.4</v>
      </c>
      <c r="S69" s="89"/>
      <c r="T69" s="147">
        <f>I69*80</f>
        <v>1.6</v>
      </c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x14ac:dyDescent="0.25">
      <c r="A70" s="96">
        <v>66</v>
      </c>
      <c r="B70" s="68"/>
      <c r="C70" s="68"/>
      <c r="D70" s="68" t="s">
        <v>273</v>
      </c>
      <c r="E70" s="30" t="s">
        <v>274</v>
      </c>
      <c r="F70" s="30" t="s">
        <v>275</v>
      </c>
      <c r="G70" s="68" t="s">
        <v>40</v>
      </c>
      <c r="H70" s="52" t="s">
        <v>293</v>
      </c>
      <c r="I70" s="105">
        <v>0.02</v>
      </c>
      <c r="J70" s="106" t="s">
        <v>292</v>
      </c>
      <c r="K70" s="140"/>
      <c r="L70" s="36" t="s">
        <v>258</v>
      </c>
      <c r="M70" s="68" t="s">
        <v>259</v>
      </c>
      <c r="N70" s="29"/>
      <c r="O70" s="67">
        <v>12.9</v>
      </c>
      <c r="P70" s="57">
        <f>R70/80</f>
        <v>15.609</v>
      </c>
      <c r="Q70" s="67">
        <v>1032</v>
      </c>
      <c r="R70" s="90">
        <v>1248.72</v>
      </c>
      <c r="S70" s="90"/>
      <c r="T70" s="149">
        <f>I70*80</f>
        <v>1.6</v>
      </c>
      <c r="U70" s="22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</row>
    <row r="71" spans="1:44" ht="15" customHeight="1" x14ac:dyDescent="0.25">
      <c r="A71" s="99">
        <v>67</v>
      </c>
      <c r="B71" s="78"/>
      <c r="C71" s="78"/>
      <c r="D71" s="15" t="s">
        <v>236</v>
      </c>
      <c r="E71" s="14" t="s">
        <v>237</v>
      </c>
      <c r="F71" s="14" t="s">
        <v>242</v>
      </c>
      <c r="G71" s="15" t="s">
        <v>40</v>
      </c>
      <c r="H71" s="51" t="s">
        <v>238</v>
      </c>
      <c r="I71" s="86">
        <v>33.520000000000003</v>
      </c>
      <c r="J71" s="15" t="s">
        <v>239</v>
      </c>
      <c r="K71" s="139" t="s">
        <v>244</v>
      </c>
      <c r="L71" s="15" t="s">
        <v>258</v>
      </c>
      <c r="M71" s="15" t="s">
        <v>264</v>
      </c>
      <c r="N71" s="23"/>
      <c r="O71" s="66">
        <f>5859*0.9</f>
        <v>5273.1</v>
      </c>
      <c r="P71" s="56">
        <f>O71*1.21</f>
        <v>6380.451</v>
      </c>
      <c r="Q71" s="66">
        <v>26365.5</v>
      </c>
      <c r="R71" s="56">
        <f>Q71*1.21</f>
        <v>31902.254999999997</v>
      </c>
      <c r="S71" s="56"/>
      <c r="T71" s="147">
        <f>I71*5</f>
        <v>167.60000000000002</v>
      </c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</row>
    <row r="72" spans="1:44" ht="15" customHeight="1" x14ac:dyDescent="0.25">
      <c r="A72" s="96">
        <v>68</v>
      </c>
      <c r="B72" s="68"/>
      <c r="C72" s="68"/>
      <c r="D72" s="68" t="s">
        <v>240</v>
      </c>
      <c r="E72" s="30" t="s">
        <v>241</v>
      </c>
      <c r="F72" s="30" t="s">
        <v>245</v>
      </c>
      <c r="G72" s="36" t="s">
        <v>195</v>
      </c>
      <c r="H72" s="52" t="s">
        <v>106</v>
      </c>
      <c r="I72" s="87">
        <v>5.68</v>
      </c>
      <c r="J72" s="68" t="s">
        <v>249</v>
      </c>
      <c r="K72" s="140"/>
      <c r="L72" s="36" t="s">
        <v>258</v>
      </c>
      <c r="M72" s="68" t="s">
        <v>264</v>
      </c>
      <c r="N72" s="29"/>
      <c r="O72" s="67">
        <f>2476*0.9</f>
        <v>2228.4</v>
      </c>
      <c r="P72" s="57">
        <f>O72*1.21</f>
        <v>2696.364</v>
      </c>
      <c r="Q72" s="67">
        <v>6685.2</v>
      </c>
      <c r="R72" s="57">
        <f>Q72*1.21</f>
        <v>8089.0919999999996</v>
      </c>
      <c r="S72" s="57"/>
      <c r="T72" s="149">
        <f>I72*3</f>
        <v>17.04</v>
      </c>
      <c r="U72" s="22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</row>
    <row r="73" spans="1:44" x14ac:dyDescent="0.25">
      <c r="A73" s="96">
        <v>69</v>
      </c>
      <c r="B73" s="68"/>
      <c r="C73" s="95"/>
      <c r="D73" s="15" t="s">
        <v>247</v>
      </c>
      <c r="E73" s="14" t="s">
        <v>248</v>
      </c>
      <c r="F73" s="14" t="s">
        <v>246</v>
      </c>
      <c r="G73" s="36" t="s">
        <v>195</v>
      </c>
      <c r="H73" s="51" t="s">
        <v>243</v>
      </c>
      <c r="I73" s="86">
        <v>2</v>
      </c>
      <c r="J73" s="15" t="s">
        <v>250</v>
      </c>
      <c r="K73" s="107" t="s">
        <v>244</v>
      </c>
      <c r="L73" s="15" t="s">
        <v>258</v>
      </c>
      <c r="M73" s="95" t="s">
        <v>322</v>
      </c>
      <c r="N73" s="144"/>
      <c r="O73" s="66">
        <f>670*0.9</f>
        <v>603</v>
      </c>
      <c r="P73" s="58">
        <f>O73*1.21</f>
        <v>729.63</v>
      </c>
      <c r="Q73" s="66">
        <v>6030</v>
      </c>
      <c r="R73" s="58">
        <f>Q73*1.21</f>
        <v>7296.3</v>
      </c>
      <c r="S73" s="175"/>
      <c r="T73" s="149">
        <f>I73*10</f>
        <v>20</v>
      </c>
      <c r="U73" s="22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</row>
    <row r="74" spans="1:44" ht="15" customHeight="1" x14ac:dyDescent="0.25">
      <c r="A74" s="99">
        <v>70</v>
      </c>
      <c r="B74" s="78"/>
      <c r="C74" s="78"/>
      <c r="D74" s="37" t="s">
        <v>146</v>
      </c>
      <c r="E74" s="37" t="s">
        <v>147</v>
      </c>
      <c r="F74" s="37" t="s">
        <v>193</v>
      </c>
      <c r="G74" s="28" t="s">
        <v>156</v>
      </c>
      <c r="H74" s="54" t="s">
        <v>132</v>
      </c>
      <c r="I74" s="70">
        <f>2.55/5</f>
        <v>0.51</v>
      </c>
      <c r="J74" s="32" t="s">
        <v>223</v>
      </c>
      <c r="K74" s="141" t="s">
        <v>135</v>
      </c>
      <c r="L74" s="37" t="s">
        <v>258</v>
      </c>
      <c r="M74" s="15" t="s">
        <v>258</v>
      </c>
      <c r="N74" s="4"/>
      <c r="O74" s="65">
        <v>210</v>
      </c>
      <c r="P74" s="62">
        <f>O74*1.21</f>
        <v>254.1</v>
      </c>
      <c r="Q74" s="91">
        <f>O74*5</f>
        <v>1050</v>
      </c>
      <c r="R74" s="91">
        <v>1270.5</v>
      </c>
      <c r="S74" s="89"/>
      <c r="T74" s="147">
        <f>I74*5</f>
        <v>2.5499999999999998</v>
      </c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</row>
    <row r="75" spans="1:44" x14ac:dyDescent="0.25">
      <c r="A75" s="99">
        <v>71</v>
      </c>
      <c r="B75" s="78"/>
      <c r="C75" s="78"/>
      <c r="D75" s="35" t="s">
        <v>146</v>
      </c>
      <c r="E75" s="35" t="s">
        <v>147</v>
      </c>
      <c r="F75" s="35" t="s">
        <v>193</v>
      </c>
      <c r="G75" s="15" t="s">
        <v>156</v>
      </c>
      <c r="H75" s="51" t="s">
        <v>132</v>
      </c>
      <c r="I75" s="71">
        <f>3.4/5</f>
        <v>0.67999999999999994</v>
      </c>
      <c r="J75" s="33" t="s">
        <v>144</v>
      </c>
      <c r="K75" s="139"/>
      <c r="L75" s="35" t="s">
        <v>258</v>
      </c>
      <c r="M75" s="35" t="s">
        <v>258</v>
      </c>
      <c r="N75" s="4"/>
      <c r="O75" s="66">
        <v>200</v>
      </c>
      <c r="P75" s="56">
        <f t="shared" ref="P75:P84" si="6">O75*1.21</f>
        <v>242</v>
      </c>
      <c r="Q75" s="66">
        <v>1000</v>
      </c>
      <c r="R75" s="89">
        <v>1210</v>
      </c>
      <c r="S75" s="89"/>
      <c r="T75" s="147">
        <f>I75*5</f>
        <v>3.3999999999999995</v>
      </c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</row>
    <row r="76" spans="1:44" x14ac:dyDescent="0.25">
      <c r="A76" s="99">
        <v>72</v>
      </c>
      <c r="B76" s="78"/>
      <c r="C76" s="78"/>
      <c r="D76" s="35" t="s">
        <v>146</v>
      </c>
      <c r="E76" s="35" t="s">
        <v>147</v>
      </c>
      <c r="F76" s="35" t="s">
        <v>193</v>
      </c>
      <c r="G76" s="15" t="s">
        <v>156</v>
      </c>
      <c r="H76" s="51" t="s">
        <v>132</v>
      </c>
      <c r="I76" s="71">
        <f>4.1/5</f>
        <v>0.82</v>
      </c>
      <c r="J76" s="33" t="s">
        <v>145</v>
      </c>
      <c r="K76" s="139"/>
      <c r="L76" s="35" t="s">
        <v>258</v>
      </c>
      <c r="M76" s="35" t="s">
        <v>258</v>
      </c>
      <c r="N76" s="4"/>
      <c r="O76" s="66">
        <v>300</v>
      </c>
      <c r="P76" s="56">
        <f t="shared" si="6"/>
        <v>363</v>
      </c>
      <c r="Q76" s="66">
        <v>1500</v>
      </c>
      <c r="R76" s="89">
        <v>1815</v>
      </c>
      <c r="S76" s="89"/>
      <c r="T76" s="147">
        <f>I76*5</f>
        <v>4.0999999999999996</v>
      </c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</row>
    <row r="77" spans="1:44" x14ac:dyDescent="0.25">
      <c r="A77" s="99">
        <v>73</v>
      </c>
      <c r="B77" s="78"/>
      <c r="C77" s="78"/>
      <c r="D77" s="35" t="s">
        <v>103</v>
      </c>
      <c r="E77" s="35" t="s">
        <v>148</v>
      </c>
      <c r="F77" s="35" t="s">
        <v>194</v>
      </c>
      <c r="G77" s="15" t="s">
        <v>156</v>
      </c>
      <c r="H77" s="51" t="s">
        <v>107</v>
      </c>
      <c r="I77" s="71">
        <f>7.15/25</f>
        <v>0.28600000000000003</v>
      </c>
      <c r="J77" s="35" t="s">
        <v>104</v>
      </c>
      <c r="K77" s="139"/>
      <c r="L77" s="35" t="s">
        <v>258</v>
      </c>
      <c r="M77" s="15" t="s">
        <v>258</v>
      </c>
      <c r="N77" s="23"/>
      <c r="O77" s="66">
        <v>40</v>
      </c>
      <c r="P77" s="56">
        <f t="shared" si="6"/>
        <v>48.4</v>
      </c>
      <c r="Q77" s="66">
        <v>1000</v>
      </c>
      <c r="R77" s="89">
        <v>1210</v>
      </c>
      <c r="S77" s="89"/>
      <c r="T77" s="147">
        <f>I77*25</f>
        <v>7.15</v>
      </c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</row>
    <row r="78" spans="1:44" x14ac:dyDescent="0.25">
      <c r="A78" s="99">
        <v>74</v>
      </c>
      <c r="B78" s="78"/>
      <c r="C78" s="78"/>
      <c r="D78" s="35" t="s">
        <v>105</v>
      </c>
      <c r="E78" s="35" t="s">
        <v>150</v>
      </c>
      <c r="F78" s="35" t="s">
        <v>194</v>
      </c>
      <c r="G78" s="15" t="s">
        <v>156</v>
      </c>
      <c r="H78" s="51" t="s">
        <v>106</v>
      </c>
      <c r="I78" s="71">
        <f>57.8/3</f>
        <v>19.266666666666666</v>
      </c>
      <c r="J78" s="35" t="s">
        <v>133</v>
      </c>
      <c r="K78" s="139"/>
      <c r="L78" s="35" t="s">
        <v>258</v>
      </c>
      <c r="M78" s="15" t="s">
        <v>258</v>
      </c>
      <c r="N78" s="23"/>
      <c r="O78" s="66">
        <v>2700</v>
      </c>
      <c r="P78" s="56">
        <f t="shared" si="6"/>
        <v>3267</v>
      </c>
      <c r="Q78" s="66">
        <v>8100</v>
      </c>
      <c r="R78" s="89">
        <v>9801</v>
      </c>
      <c r="S78" s="89"/>
      <c r="T78" s="147">
        <f>I78*3</f>
        <v>57.8</v>
      </c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</row>
    <row r="79" spans="1:44" x14ac:dyDescent="0.25">
      <c r="A79" s="99">
        <v>75</v>
      </c>
      <c r="B79" s="78"/>
      <c r="C79" s="78"/>
      <c r="D79" s="35" t="s">
        <v>153</v>
      </c>
      <c r="E79" s="35" t="s">
        <v>152</v>
      </c>
      <c r="F79" s="35" t="s">
        <v>194</v>
      </c>
      <c r="G79" s="15" t="s">
        <v>156</v>
      </c>
      <c r="H79" s="51" t="s">
        <v>134</v>
      </c>
      <c r="I79" s="71">
        <f>169/325</f>
        <v>0.52</v>
      </c>
      <c r="J79" s="15" t="s">
        <v>154</v>
      </c>
      <c r="K79" s="139"/>
      <c r="L79" s="35" t="s">
        <v>258</v>
      </c>
      <c r="M79" s="15" t="s">
        <v>258</v>
      </c>
      <c r="N79" s="23"/>
      <c r="O79" s="66">
        <v>15</v>
      </c>
      <c r="P79" s="56">
        <f t="shared" si="6"/>
        <v>18.149999999999999</v>
      </c>
      <c r="Q79" s="66">
        <v>4875</v>
      </c>
      <c r="R79" s="89">
        <v>5898.75</v>
      </c>
      <c r="S79" s="89"/>
      <c r="T79" s="147">
        <f>I79*325</f>
        <v>169</v>
      </c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44" x14ac:dyDescent="0.25">
      <c r="A80" s="99">
        <v>76</v>
      </c>
      <c r="B80" s="78"/>
      <c r="C80" s="78"/>
      <c r="D80" s="35" t="s">
        <v>136</v>
      </c>
      <c r="E80" s="35" t="s">
        <v>151</v>
      </c>
      <c r="F80" s="35" t="s">
        <v>194</v>
      </c>
      <c r="G80" s="15" t="s">
        <v>156</v>
      </c>
      <c r="H80" s="51" t="s">
        <v>132</v>
      </c>
      <c r="I80" s="71">
        <f>0.4/5</f>
        <v>0.08</v>
      </c>
      <c r="J80" s="15" t="s">
        <v>142</v>
      </c>
      <c r="K80" s="139"/>
      <c r="L80" s="35" t="s">
        <v>258</v>
      </c>
      <c r="M80" s="15" t="s">
        <v>257</v>
      </c>
      <c r="N80" s="23"/>
      <c r="O80" s="66">
        <v>83</v>
      </c>
      <c r="P80" s="56">
        <f t="shared" si="6"/>
        <v>100.42999999999999</v>
      </c>
      <c r="Q80" s="66">
        <v>415</v>
      </c>
      <c r="R80" s="89">
        <v>502.15</v>
      </c>
      <c r="S80" s="89"/>
      <c r="T80" s="147">
        <f>I80*5</f>
        <v>0.4</v>
      </c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</row>
    <row r="81" spans="1:44" x14ac:dyDescent="0.25">
      <c r="A81" s="99">
        <v>77</v>
      </c>
      <c r="B81" s="78"/>
      <c r="C81" s="78"/>
      <c r="D81" s="35" t="s">
        <v>136</v>
      </c>
      <c r="E81" s="35" t="s">
        <v>151</v>
      </c>
      <c r="F81" s="35" t="s">
        <v>194</v>
      </c>
      <c r="G81" s="15" t="s">
        <v>156</v>
      </c>
      <c r="H81" s="51" t="s">
        <v>132</v>
      </c>
      <c r="I81" s="71">
        <f>0.45/5</f>
        <v>0.09</v>
      </c>
      <c r="J81" s="15" t="s">
        <v>143</v>
      </c>
      <c r="K81" s="139"/>
      <c r="L81" s="35" t="s">
        <v>258</v>
      </c>
      <c r="M81" s="15" t="s">
        <v>257</v>
      </c>
      <c r="N81" s="23"/>
      <c r="O81" s="66">
        <v>83</v>
      </c>
      <c r="P81" s="56">
        <f t="shared" si="6"/>
        <v>100.42999999999999</v>
      </c>
      <c r="Q81" s="66">
        <v>415</v>
      </c>
      <c r="R81" s="89">
        <v>502.15</v>
      </c>
      <c r="S81" s="89"/>
      <c r="T81" s="147">
        <f>I81*5</f>
        <v>0.44999999999999996</v>
      </c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</row>
    <row r="82" spans="1:44" x14ac:dyDescent="0.25">
      <c r="A82" s="99">
        <v>78</v>
      </c>
      <c r="B82" s="78"/>
      <c r="C82" s="78"/>
      <c r="D82" s="35" t="s">
        <v>136</v>
      </c>
      <c r="E82" s="35" t="s">
        <v>151</v>
      </c>
      <c r="F82" s="35" t="s">
        <v>194</v>
      </c>
      <c r="G82" s="15" t="s">
        <v>156</v>
      </c>
      <c r="H82" s="51" t="s">
        <v>132</v>
      </c>
      <c r="I82" s="71">
        <f>0.52/5</f>
        <v>0.10400000000000001</v>
      </c>
      <c r="J82" s="15" t="s">
        <v>137</v>
      </c>
      <c r="K82" s="139"/>
      <c r="L82" s="35" t="s">
        <v>258</v>
      </c>
      <c r="M82" s="15" t="s">
        <v>257</v>
      </c>
      <c r="N82" s="23"/>
      <c r="O82" s="66">
        <v>116</v>
      </c>
      <c r="P82" s="56">
        <f t="shared" si="6"/>
        <v>140.35999999999999</v>
      </c>
      <c r="Q82" s="66">
        <v>580</v>
      </c>
      <c r="R82" s="89">
        <v>701.8</v>
      </c>
      <c r="S82" s="89"/>
      <c r="T82" s="147">
        <f>I82*5</f>
        <v>0.52</v>
      </c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</row>
    <row r="83" spans="1:44" x14ac:dyDescent="0.25">
      <c r="A83" s="99">
        <v>79</v>
      </c>
      <c r="B83" s="78"/>
      <c r="C83" s="78"/>
      <c r="D83" s="35" t="s">
        <v>138</v>
      </c>
      <c r="E83" s="35" t="s">
        <v>149</v>
      </c>
      <c r="F83" s="35" t="s">
        <v>194</v>
      </c>
      <c r="G83" s="15" t="s">
        <v>156</v>
      </c>
      <c r="H83" s="51" t="s">
        <v>123</v>
      </c>
      <c r="I83" s="71">
        <f>1.1/10</f>
        <v>0.11000000000000001</v>
      </c>
      <c r="J83" s="15" t="s">
        <v>260</v>
      </c>
      <c r="K83" s="139"/>
      <c r="L83" s="35" t="s">
        <v>258</v>
      </c>
      <c r="M83" s="15" t="s">
        <v>258</v>
      </c>
      <c r="N83" s="23"/>
      <c r="O83" s="66">
        <v>45</v>
      </c>
      <c r="P83" s="56">
        <f t="shared" si="6"/>
        <v>54.449999999999996</v>
      </c>
      <c r="Q83" s="66">
        <v>450</v>
      </c>
      <c r="R83" s="89">
        <v>544.5</v>
      </c>
      <c r="S83" s="89"/>
      <c r="T83" s="147">
        <f>I83*10</f>
        <v>1.1000000000000001</v>
      </c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</row>
    <row r="84" spans="1:44" x14ac:dyDescent="0.25">
      <c r="A84" s="96">
        <v>80</v>
      </c>
      <c r="B84" s="68"/>
      <c r="C84" s="68"/>
      <c r="D84" s="36" t="s">
        <v>139</v>
      </c>
      <c r="E84" s="36" t="s">
        <v>155</v>
      </c>
      <c r="F84" s="36" t="s">
        <v>194</v>
      </c>
      <c r="G84" s="68" t="s">
        <v>156</v>
      </c>
      <c r="H84" s="52" t="s">
        <v>109</v>
      </c>
      <c r="I84" s="72">
        <f>42/100</f>
        <v>0.42</v>
      </c>
      <c r="J84" s="68" t="s">
        <v>141</v>
      </c>
      <c r="K84" s="140"/>
      <c r="L84" s="36" t="s">
        <v>258</v>
      </c>
      <c r="M84" s="68" t="s">
        <v>257</v>
      </c>
      <c r="N84" s="29"/>
      <c r="O84" s="67">
        <v>108</v>
      </c>
      <c r="P84" s="57">
        <f t="shared" si="6"/>
        <v>130.68</v>
      </c>
      <c r="Q84" s="67">
        <v>10800</v>
      </c>
      <c r="R84" s="90">
        <v>13068</v>
      </c>
      <c r="S84" s="90"/>
      <c r="T84" s="149">
        <f>I84*100</f>
        <v>42</v>
      </c>
      <c r="U84" s="22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</row>
    <row r="85" spans="1:44" x14ac:dyDescent="0.25">
      <c r="A85" s="99">
        <v>81</v>
      </c>
      <c r="B85" s="15"/>
      <c r="C85" s="15"/>
      <c r="D85" s="28" t="s">
        <v>161</v>
      </c>
      <c r="E85" s="28" t="s">
        <v>162</v>
      </c>
      <c r="F85" s="108" t="s">
        <v>192</v>
      </c>
      <c r="G85" s="28" t="s">
        <v>40</v>
      </c>
      <c r="H85" s="54" t="s">
        <v>118</v>
      </c>
      <c r="I85" s="73">
        <f>5.4/400</f>
        <v>1.3500000000000002E-2</v>
      </c>
      <c r="J85" s="28" t="s">
        <v>179</v>
      </c>
      <c r="K85" s="136" t="s">
        <v>135</v>
      </c>
      <c r="L85" s="35" t="s">
        <v>258</v>
      </c>
      <c r="M85" s="15" t="s">
        <v>257</v>
      </c>
      <c r="N85" s="23"/>
      <c r="O85" s="58">
        <f>Q85/400</f>
        <v>7.7435</v>
      </c>
      <c r="P85" s="58">
        <f>R85/400</f>
        <v>9.3691250000000004</v>
      </c>
      <c r="Q85" s="58">
        <f>3644*0.85</f>
        <v>3097.4</v>
      </c>
      <c r="R85" s="58">
        <f>4409*0.85</f>
        <v>3747.65</v>
      </c>
      <c r="S85" s="58"/>
      <c r="T85" s="147">
        <f>I85*400</f>
        <v>5.4</v>
      </c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</row>
    <row r="86" spans="1:44" x14ac:dyDescent="0.25">
      <c r="A86" s="99">
        <v>82</v>
      </c>
      <c r="B86" s="15"/>
      <c r="C86" s="15"/>
      <c r="D86" s="15" t="s">
        <v>182</v>
      </c>
      <c r="E86" s="33" t="s">
        <v>180</v>
      </c>
      <c r="F86" s="35" t="s">
        <v>196</v>
      </c>
      <c r="G86" s="15" t="s">
        <v>195</v>
      </c>
      <c r="H86" s="51" t="s">
        <v>163</v>
      </c>
      <c r="I86" s="74">
        <f>58.27/55</f>
        <v>1.0594545454545454</v>
      </c>
      <c r="J86" s="33" t="s">
        <v>188</v>
      </c>
      <c r="K86" s="137"/>
      <c r="L86" s="35" t="s">
        <v>258</v>
      </c>
      <c r="M86" s="15" t="s">
        <v>257</v>
      </c>
      <c r="N86" s="23"/>
      <c r="O86" s="58">
        <f>Q86/55</f>
        <v>243.1</v>
      </c>
      <c r="P86" s="58">
        <f>R86/55</f>
        <v>294.14636363636362</v>
      </c>
      <c r="Q86" s="58">
        <f>0.85*15730</f>
        <v>13370.5</v>
      </c>
      <c r="R86" s="58">
        <f>19033*0.85</f>
        <v>16178.05</v>
      </c>
      <c r="S86" s="58"/>
      <c r="T86" s="147">
        <f>I86*55</f>
        <v>58.269999999999996</v>
      </c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</row>
    <row r="87" spans="1:44" x14ac:dyDescent="0.25">
      <c r="A87" s="99">
        <v>83</v>
      </c>
      <c r="B87" s="15"/>
      <c r="C87" s="15"/>
      <c r="D87" s="15" t="s">
        <v>182</v>
      </c>
      <c r="E87" s="33" t="s">
        <v>180</v>
      </c>
      <c r="F87" s="35" t="s">
        <v>196</v>
      </c>
      <c r="G87" s="15" t="s">
        <v>195</v>
      </c>
      <c r="H87" s="51" t="s">
        <v>164</v>
      </c>
      <c r="I87" s="74">
        <f>8.79/7</f>
        <v>1.2557142857142856</v>
      </c>
      <c r="J87" s="33" t="s">
        <v>181</v>
      </c>
      <c r="K87" s="137"/>
      <c r="L87" s="35" t="s">
        <v>258</v>
      </c>
      <c r="M87" s="15" t="s">
        <v>257</v>
      </c>
      <c r="N87" s="23"/>
      <c r="O87" s="58">
        <f>Q87/7</f>
        <v>338.3</v>
      </c>
      <c r="P87" s="58">
        <f>R87/7</f>
        <v>409.33571428571429</v>
      </c>
      <c r="Q87" s="58">
        <f>0.85*2786</f>
        <v>2368.1</v>
      </c>
      <c r="R87" s="58">
        <f>3371*0.85</f>
        <v>2865.35</v>
      </c>
      <c r="S87" s="58"/>
      <c r="T87" s="147">
        <f>I87*7</f>
        <v>8.7899999999999991</v>
      </c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</row>
    <row r="88" spans="1:44" x14ac:dyDescent="0.25">
      <c r="A88" s="99">
        <v>84</v>
      </c>
      <c r="B88" s="15"/>
      <c r="C88" s="15"/>
      <c r="D88" s="15" t="s">
        <v>182</v>
      </c>
      <c r="E88" s="33" t="s">
        <v>180</v>
      </c>
      <c r="F88" s="35" t="s">
        <v>196</v>
      </c>
      <c r="G88" s="15" t="s">
        <v>195</v>
      </c>
      <c r="H88" s="51" t="s">
        <v>165</v>
      </c>
      <c r="I88" s="74">
        <f>22.65/21</f>
        <v>1.0785714285714285</v>
      </c>
      <c r="J88" s="33" t="s">
        <v>189</v>
      </c>
      <c r="K88" s="137"/>
      <c r="L88" s="35" t="s">
        <v>258</v>
      </c>
      <c r="M88" s="15" t="s">
        <v>257</v>
      </c>
      <c r="N88" s="23"/>
      <c r="O88" s="58">
        <f>Q88/21</f>
        <v>243.09999999999997</v>
      </c>
      <c r="P88" s="58">
        <f>R88/21</f>
        <v>294.14047619047619</v>
      </c>
      <c r="Q88" s="58">
        <f>0.85*6006</f>
        <v>5105.0999999999995</v>
      </c>
      <c r="R88" s="58">
        <f>7267*0.85</f>
        <v>6176.95</v>
      </c>
      <c r="S88" s="58"/>
      <c r="T88" s="147">
        <f>I88*21</f>
        <v>22.65</v>
      </c>
    </row>
    <row r="89" spans="1:44" x14ac:dyDescent="0.25">
      <c r="A89" s="99">
        <v>85</v>
      </c>
      <c r="B89" s="15"/>
      <c r="C89" s="15"/>
      <c r="D89" s="15" t="s">
        <v>182</v>
      </c>
      <c r="E89" s="33" t="s">
        <v>180</v>
      </c>
      <c r="F89" s="35" t="s">
        <v>196</v>
      </c>
      <c r="G89" s="15" t="s">
        <v>195</v>
      </c>
      <c r="H89" s="51" t="s">
        <v>166</v>
      </c>
      <c r="I89" s="74">
        <f>29.1/18</f>
        <v>1.6166666666666667</v>
      </c>
      <c r="J89" s="33" t="s">
        <v>190</v>
      </c>
      <c r="K89" s="137"/>
      <c r="L89" s="35" t="s">
        <v>258</v>
      </c>
      <c r="M89" s="15" t="s">
        <v>257</v>
      </c>
      <c r="N89" s="23"/>
      <c r="O89" s="58">
        <f>Q89/18</f>
        <v>289</v>
      </c>
      <c r="P89" s="58">
        <f>R89/18</f>
        <v>349.68055555555554</v>
      </c>
      <c r="Q89" s="58">
        <f>0.85*6120</f>
        <v>5202</v>
      </c>
      <c r="R89" s="58">
        <f>7405*0.85</f>
        <v>6294.25</v>
      </c>
      <c r="S89" s="58"/>
      <c r="T89" s="147">
        <f>I89*18</f>
        <v>29.1</v>
      </c>
    </row>
    <row r="90" spans="1:44" x14ac:dyDescent="0.25">
      <c r="A90" s="99">
        <v>86</v>
      </c>
      <c r="B90" s="15"/>
      <c r="C90" s="15"/>
      <c r="D90" s="15" t="s">
        <v>182</v>
      </c>
      <c r="E90" s="33" t="s">
        <v>180</v>
      </c>
      <c r="F90" s="35" t="s">
        <v>196</v>
      </c>
      <c r="G90" s="15" t="s">
        <v>195</v>
      </c>
      <c r="H90" s="51" t="s">
        <v>167</v>
      </c>
      <c r="I90" s="74">
        <f>15.03/6</f>
        <v>2.5049999999999999</v>
      </c>
      <c r="J90" s="33" t="s">
        <v>191</v>
      </c>
      <c r="K90" s="137"/>
      <c r="L90" s="35" t="s">
        <v>258</v>
      </c>
      <c r="M90" s="15" t="s">
        <v>257</v>
      </c>
      <c r="N90" s="23"/>
      <c r="O90" s="58">
        <f>Q90/6</f>
        <v>549.1</v>
      </c>
      <c r="P90" s="58">
        <f>R90/6</f>
        <v>664.41666666666663</v>
      </c>
      <c r="Q90" s="58">
        <f>0.85*3876</f>
        <v>3294.6</v>
      </c>
      <c r="R90" s="58">
        <f>4690*0.85</f>
        <v>3986.5</v>
      </c>
      <c r="S90" s="58"/>
      <c r="T90" s="147">
        <f>I90*6</f>
        <v>15.03</v>
      </c>
    </row>
    <row r="91" spans="1:44" x14ac:dyDescent="0.25">
      <c r="A91" s="99">
        <v>87</v>
      </c>
      <c r="B91" s="15"/>
      <c r="C91" s="15"/>
      <c r="D91" s="14" t="s">
        <v>183</v>
      </c>
      <c r="E91" s="33" t="s">
        <v>184</v>
      </c>
      <c r="F91" s="35" t="s">
        <v>196</v>
      </c>
      <c r="G91" s="15" t="s">
        <v>195</v>
      </c>
      <c r="H91" s="51" t="s">
        <v>168</v>
      </c>
      <c r="I91" s="74">
        <f>15.4/20</f>
        <v>0.77</v>
      </c>
      <c r="J91" s="38" t="s">
        <v>186</v>
      </c>
      <c r="K91" s="137"/>
      <c r="L91" s="35" t="s">
        <v>258</v>
      </c>
      <c r="M91" s="15" t="s">
        <v>257</v>
      </c>
      <c r="N91" s="23"/>
      <c r="O91" s="58">
        <f>Q91/20</f>
        <v>181.9</v>
      </c>
      <c r="P91" s="58">
        <f>R91/20</f>
        <v>220.10749999999999</v>
      </c>
      <c r="Q91" s="58">
        <f>0.85*4280</f>
        <v>3638</v>
      </c>
      <c r="R91" s="58">
        <f>5179*0.85</f>
        <v>4402.1499999999996</v>
      </c>
      <c r="S91" s="58"/>
      <c r="T91" s="147">
        <f>I91*20</f>
        <v>15.4</v>
      </c>
    </row>
    <row r="92" spans="1:44" x14ac:dyDescent="0.25">
      <c r="A92" s="99">
        <v>88</v>
      </c>
      <c r="B92" s="15"/>
      <c r="C92" s="15"/>
      <c r="D92" s="14" t="s">
        <v>183</v>
      </c>
      <c r="E92" s="33" t="s">
        <v>184</v>
      </c>
      <c r="F92" s="35" t="s">
        <v>196</v>
      </c>
      <c r="G92" s="15" t="s">
        <v>195</v>
      </c>
      <c r="H92" s="51" t="s">
        <v>169</v>
      </c>
      <c r="I92" s="74">
        <f>20.64/22</f>
        <v>0.93818181818181823</v>
      </c>
      <c r="J92" s="38" t="s">
        <v>185</v>
      </c>
      <c r="K92" s="137"/>
      <c r="L92" s="35" t="s">
        <v>258</v>
      </c>
      <c r="M92" s="15" t="s">
        <v>257</v>
      </c>
      <c r="N92" s="23"/>
      <c r="O92" s="58">
        <f>Q92/22</f>
        <v>223.54999999999998</v>
      </c>
      <c r="P92" s="58">
        <f>R92/22</f>
        <v>270.49318181818177</v>
      </c>
      <c r="Q92" s="58">
        <f>0.85*5786</f>
        <v>4918.0999999999995</v>
      </c>
      <c r="R92" s="58">
        <f>7001*0.85</f>
        <v>5950.8499999999995</v>
      </c>
      <c r="S92" s="58"/>
      <c r="T92" s="147">
        <f>I92*22</f>
        <v>20.64</v>
      </c>
    </row>
    <row r="93" spans="1:44" x14ac:dyDescent="0.25">
      <c r="A93" s="99">
        <v>89</v>
      </c>
      <c r="B93" s="15"/>
      <c r="C93" s="15"/>
      <c r="D93" s="14" t="s">
        <v>183</v>
      </c>
      <c r="E93" s="33" t="s">
        <v>184</v>
      </c>
      <c r="F93" s="35" t="s">
        <v>196</v>
      </c>
      <c r="G93" s="15" t="s">
        <v>195</v>
      </c>
      <c r="H93" s="51" t="s">
        <v>132</v>
      </c>
      <c r="I93" s="74">
        <f>6.68/5</f>
        <v>1.3359999999999999</v>
      </c>
      <c r="J93" s="38" t="s">
        <v>187</v>
      </c>
      <c r="K93" s="137"/>
      <c r="L93" s="35" t="s">
        <v>258</v>
      </c>
      <c r="M93" s="15" t="s">
        <v>257</v>
      </c>
      <c r="N93" s="23"/>
      <c r="O93" s="58">
        <f>Q93/5</f>
        <v>298.35000000000002</v>
      </c>
      <c r="P93" s="58">
        <f>R93/5</f>
        <v>361.08</v>
      </c>
      <c r="Q93" s="58">
        <f>0.85*1755</f>
        <v>1491.75</v>
      </c>
      <c r="R93" s="58">
        <f>2124*0.85</f>
        <v>1805.3999999999999</v>
      </c>
      <c r="S93" s="58"/>
      <c r="T93" s="147">
        <f>I93*5</f>
        <v>6.68</v>
      </c>
    </row>
    <row r="94" spans="1:44" x14ac:dyDescent="0.25">
      <c r="A94" s="99">
        <v>90</v>
      </c>
      <c r="B94" s="15"/>
      <c r="C94" s="15"/>
      <c r="D94" s="35" t="s">
        <v>172</v>
      </c>
      <c r="E94" s="35" t="s">
        <v>173</v>
      </c>
      <c r="F94" s="35" t="s">
        <v>197</v>
      </c>
      <c r="G94" s="15" t="s">
        <v>195</v>
      </c>
      <c r="H94" s="51" t="s">
        <v>116</v>
      </c>
      <c r="I94" s="74">
        <f>12.77/4</f>
        <v>3.1924999999999999</v>
      </c>
      <c r="J94" s="38" t="s">
        <v>171</v>
      </c>
      <c r="K94" s="137"/>
      <c r="L94" s="35" t="s">
        <v>258</v>
      </c>
      <c r="M94" s="15" t="s">
        <v>257</v>
      </c>
      <c r="N94" s="23"/>
      <c r="O94" s="58">
        <f>Q94/4</f>
        <v>3697.5</v>
      </c>
      <c r="P94" s="58">
        <f>R94/4</f>
        <v>4473.9749999999995</v>
      </c>
      <c r="Q94" s="58">
        <f>0.85*17400</f>
        <v>14790</v>
      </c>
      <c r="R94" s="58">
        <f>21054*0.85</f>
        <v>17895.899999999998</v>
      </c>
      <c r="S94" s="58"/>
      <c r="T94" s="147">
        <f>I94*4</f>
        <v>12.77</v>
      </c>
    </row>
    <row r="95" spans="1:44" x14ac:dyDescent="0.25">
      <c r="A95" s="99">
        <v>91</v>
      </c>
      <c r="B95" s="15"/>
      <c r="C95" s="15"/>
      <c r="D95" s="35" t="s">
        <v>174</v>
      </c>
      <c r="E95" s="35" t="s">
        <v>175</v>
      </c>
      <c r="F95" s="35" t="s">
        <v>235</v>
      </c>
      <c r="G95" s="35" t="s">
        <v>40</v>
      </c>
      <c r="H95" s="51" t="s">
        <v>170</v>
      </c>
      <c r="I95" s="74">
        <f>1.6/1</f>
        <v>1.6</v>
      </c>
      <c r="J95" s="38" t="s">
        <v>176</v>
      </c>
      <c r="K95" s="137"/>
      <c r="L95" s="35" t="s">
        <v>258</v>
      </c>
      <c r="M95" s="15" t="s">
        <v>257</v>
      </c>
      <c r="N95" s="23"/>
      <c r="O95" s="58">
        <f t="shared" ref="O95:P97" si="7">Q95</f>
        <v>2143.6999999999998</v>
      </c>
      <c r="P95" s="58">
        <f t="shared" si="7"/>
        <v>2594.1999999999998</v>
      </c>
      <c r="Q95" s="58">
        <f>0.85*2522</f>
        <v>2143.6999999999998</v>
      </c>
      <c r="R95" s="58">
        <f>3052*0.85</f>
        <v>2594.1999999999998</v>
      </c>
      <c r="S95" s="58"/>
      <c r="T95" s="147">
        <f>I95*1</f>
        <v>1.6</v>
      </c>
    </row>
    <row r="96" spans="1:44" x14ac:dyDescent="0.25">
      <c r="A96" s="99">
        <v>92</v>
      </c>
      <c r="B96" s="15"/>
      <c r="C96" s="15"/>
      <c r="D96" s="35" t="s">
        <v>174</v>
      </c>
      <c r="E96" s="35" t="s">
        <v>175</v>
      </c>
      <c r="F96" s="35" t="s">
        <v>235</v>
      </c>
      <c r="G96" s="35" t="s">
        <v>40</v>
      </c>
      <c r="H96" s="51" t="s">
        <v>170</v>
      </c>
      <c r="I96" s="74">
        <v>2.5499999999999998</v>
      </c>
      <c r="J96" s="38" t="s">
        <v>177</v>
      </c>
      <c r="K96" s="137"/>
      <c r="L96" s="35" t="s">
        <v>258</v>
      </c>
      <c r="M96" s="15" t="s">
        <v>257</v>
      </c>
      <c r="N96" s="23"/>
      <c r="O96" s="58">
        <f t="shared" si="7"/>
        <v>2767.6</v>
      </c>
      <c r="P96" s="58">
        <f t="shared" si="7"/>
        <v>3349</v>
      </c>
      <c r="Q96" s="58">
        <f>0.85*3256</f>
        <v>2767.6</v>
      </c>
      <c r="R96" s="58">
        <f>3940*0.85</f>
        <v>3349</v>
      </c>
      <c r="S96" s="58"/>
      <c r="T96" s="147">
        <f>I96*1</f>
        <v>2.5499999999999998</v>
      </c>
    </row>
    <row r="97" spans="1:21" x14ac:dyDescent="0.25">
      <c r="A97" s="96">
        <v>93</v>
      </c>
      <c r="B97" s="68"/>
      <c r="C97" s="68"/>
      <c r="D97" s="36" t="s">
        <v>174</v>
      </c>
      <c r="E97" s="36" t="s">
        <v>175</v>
      </c>
      <c r="F97" s="35" t="s">
        <v>235</v>
      </c>
      <c r="G97" s="36" t="s">
        <v>40</v>
      </c>
      <c r="H97" s="52" t="s">
        <v>170</v>
      </c>
      <c r="I97" s="75">
        <v>3.44</v>
      </c>
      <c r="J97" s="39" t="s">
        <v>178</v>
      </c>
      <c r="K97" s="138"/>
      <c r="L97" s="36" t="s">
        <v>258</v>
      </c>
      <c r="M97" s="68" t="s">
        <v>257</v>
      </c>
      <c r="N97" s="29"/>
      <c r="O97" s="60">
        <f t="shared" si="7"/>
        <v>3275.0499999999997</v>
      </c>
      <c r="P97" s="60">
        <f t="shared" si="7"/>
        <v>3962.7</v>
      </c>
      <c r="Q97" s="58">
        <f>0.85*3853</f>
        <v>3275.0499999999997</v>
      </c>
      <c r="R97" s="60">
        <f>4662*0.85</f>
        <v>3962.7</v>
      </c>
      <c r="S97" s="60"/>
      <c r="T97" s="149">
        <f>I97*1</f>
        <v>3.44</v>
      </c>
      <c r="U97" s="3"/>
    </row>
    <row r="98" spans="1:21" ht="15" customHeight="1" x14ac:dyDescent="0.25">
      <c r="A98" s="99">
        <v>94</v>
      </c>
      <c r="B98" s="78"/>
      <c r="C98" s="78"/>
      <c r="D98" s="28" t="s">
        <v>227</v>
      </c>
      <c r="E98" s="28" t="s">
        <v>224</v>
      </c>
      <c r="F98" s="37" t="s">
        <v>234</v>
      </c>
      <c r="G98" s="37" t="s">
        <v>195</v>
      </c>
      <c r="H98" s="55" t="s">
        <v>225</v>
      </c>
      <c r="I98" s="79">
        <f>20/200</f>
        <v>0.1</v>
      </c>
      <c r="J98" s="42" t="s">
        <v>265</v>
      </c>
      <c r="K98" s="136" t="s">
        <v>226</v>
      </c>
      <c r="L98" s="35" t="s">
        <v>258</v>
      </c>
      <c r="M98" s="28" t="s">
        <v>264</v>
      </c>
      <c r="N98" s="158"/>
      <c r="O98" s="65">
        <v>23.2</v>
      </c>
      <c r="P98" s="61">
        <f>O98*1.21</f>
        <v>28.071999999999999</v>
      </c>
      <c r="Q98" s="65">
        <v>4640</v>
      </c>
      <c r="R98" s="65">
        <v>5614.4</v>
      </c>
      <c r="S98" s="66"/>
      <c r="T98" s="148">
        <f>I98*200</f>
        <v>20</v>
      </c>
    </row>
    <row r="99" spans="1:21" ht="15" customHeight="1" x14ac:dyDescent="0.25">
      <c r="A99" s="99">
        <v>95</v>
      </c>
      <c r="B99" s="78"/>
      <c r="C99" s="78"/>
      <c r="D99" s="40" t="s">
        <v>230</v>
      </c>
      <c r="E99" s="40" t="s">
        <v>229</v>
      </c>
      <c r="F99" s="109" t="s">
        <v>233</v>
      </c>
      <c r="G99" s="40" t="s">
        <v>195</v>
      </c>
      <c r="H99" s="51" t="s">
        <v>228</v>
      </c>
      <c r="I99" s="80">
        <f>15/150</f>
        <v>0.1</v>
      </c>
      <c r="J99" s="41" t="s">
        <v>266</v>
      </c>
      <c r="K99" s="137"/>
      <c r="L99" s="35" t="s">
        <v>258</v>
      </c>
      <c r="M99" s="40" t="s">
        <v>258</v>
      </c>
      <c r="N99" s="159"/>
      <c r="O99" s="89">
        <v>27.6</v>
      </c>
      <c r="P99" s="58">
        <f t="shared" ref="P99:P101" si="8">O99*1.21</f>
        <v>33.396000000000001</v>
      </c>
      <c r="Q99" s="89">
        <v>4140</v>
      </c>
      <c r="R99" s="89">
        <v>5009.3999999999996</v>
      </c>
      <c r="S99" s="89"/>
      <c r="T99" s="148">
        <f>I99*150</f>
        <v>15</v>
      </c>
    </row>
    <row r="100" spans="1:21" ht="15" customHeight="1" x14ac:dyDescent="0.25">
      <c r="A100" s="99">
        <v>96</v>
      </c>
      <c r="B100" s="78"/>
      <c r="C100" s="78"/>
      <c r="D100" s="40" t="s">
        <v>230</v>
      </c>
      <c r="E100" s="40" t="s">
        <v>229</v>
      </c>
      <c r="F100" s="109" t="s">
        <v>233</v>
      </c>
      <c r="G100" s="40" t="s">
        <v>195</v>
      </c>
      <c r="H100" s="51" t="s">
        <v>232</v>
      </c>
      <c r="I100" s="80">
        <f>52.5/250</f>
        <v>0.21</v>
      </c>
      <c r="J100" s="41" t="s">
        <v>267</v>
      </c>
      <c r="K100" s="137"/>
      <c r="L100" s="35" t="s">
        <v>258</v>
      </c>
      <c r="M100" s="40" t="s">
        <v>258</v>
      </c>
      <c r="N100" s="159"/>
      <c r="O100" s="89">
        <v>54.8</v>
      </c>
      <c r="P100" s="58">
        <f t="shared" si="8"/>
        <v>66.307999999999993</v>
      </c>
      <c r="Q100" s="89">
        <v>13700</v>
      </c>
      <c r="R100" s="89">
        <v>16577</v>
      </c>
      <c r="S100" s="89"/>
      <c r="T100" s="148">
        <f>I100*250</f>
        <v>52.5</v>
      </c>
    </row>
    <row r="101" spans="1:21" ht="15" customHeight="1" x14ac:dyDescent="0.25">
      <c r="A101" s="96">
        <v>97</v>
      </c>
      <c r="B101" s="68"/>
      <c r="C101" s="68"/>
      <c r="D101" s="43" t="s">
        <v>230</v>
      </c>
      <c r="E101" s="43" t="s">
        <v>229</v>
      </c>
      <c r="F101" s="110" t="s">
        <v>233</v>
      </c>
      <c r="G101" s="43" t="s">
        <v>195</v>
      </c>
      <c r="H101" s="52" t="s">
        <v>231</v>
      </c>
      <c r="I101" s="81">
        <f>30/75</f>
        <v>0.4</v>
      </c>
      <c r="J101" s="44" t="s">
        <v>268</v>
      </c>
      <c r="K101" s="138"/>
      <c r="L101" s="36" t="s">
        <v>258</v>
      </c>
      <c r="M101" s="43" t="s">
        <v>258</v>
      </c>
      <c r="N101" s="160"/>
      <c r="O101" s="90">
        <v>100</v>
      </c>
      <c r="P101" s="60">
        <f t="shared" si="8"/>
        <v>121</v>
      </c>
      <c r="Q101" s="90">
        <v>7500</v>
      </c>
      <c r="R101" s="90">
        <v>9075</v>
      </c>
      <c r="S101" s="90"/>
      <c r="T101" s="151">
        <f>I101*75</f>
        <v>30</v>
      </c>
      <c r="U101" s="3"/>
    </row>
    <row r="102" spans="1:21" x14ac:dyDescent="0.25">
      <c r="A102" s="78"/>
      <c r="B102" s="78"/>
      <c r="C102" s="78"/>
      <c r="D102" s="77"/>
      <c r="E102" s="77"/>
      <c r="F102" s="77"/>
      <c r="G102" s="77"/>
      <c r="J102" s="77"/>
      <c r="K102" s="77"/>
      <c r="L102" s="77"/>
      <c r="M102" s="78"/>
      <c r="N102" s="161"/>
      <c r="O102" s="77"/>
      <c r="P102" s="77"/>
      <c r="Q102" s="145"/>
      <c r="R102" s="77"/>
      <c r="S102" s="77"/>
      <c r="T102" s="2"/>
    </row>
    <row r="103" spans="1:21" x14ac:dyDescent="0.25">
      <c r="A103" s="78"/>
      <c r="B103" s="78"/>
      <c r="C103" s="78"/>
      <c r="D103" s="77"/>
      <c r="E103" s="77"/>
      <c r="F103" s="77"/>
      <c r="G103" s="77"/>
      <c r="J103" s="41"/>
      <c r="K103" s="77"/>
      <c r="L103" s="77"/>
      <c r="M103" s="77"/>
      <c r="O103" s="77"/>
      <c r="P103" s="77"/>
      <c r="Q103" s="145"/>
      <c r="R103" s="145"/>
      <c r="S103" s="145"/>
      <c r="T103" s="2"/>
    </row>
    <row r="104" spans="1:21" ht="15.75" thickBot="1" x14ac:dyDescent="0.3">
      <c r="A104" s="78"/>
      <c r="B104" s="78"/>
      <c r="C104" s="78"/>
      <c r="D104" s="77"/>
      <c r="E104" s="77"/>
      <c r="F104" s="77"/>
      <c r="G104" s="77"/>
      <c r="J104" s="77"/>
      <c r="K104" s="77"/>
      <c r="L104" s="77"/>
      <c r="M104" s="77"/>
      <c r="O104" s="77"/>
      <c r="P104" s="77"/>
      <c r="Q104" s="77"/>
      <c r="R104" s="77"/>
      <c r="S104" s="77"/>
      <c r="T104" s="2"/>
    </row>
    <row r="105" spans="1:21" ht="15.75" customHeight="1" x14ac:dyDescent="0.25">
      <c r="A105" s="78"/>
      <c r="B105" s="78"/>
      <c r="C105" s="78"/>
      <c r="D105" s="77"/>
      <c r="E105" s="77"/>
      <c r="F105" s="77"/>
      <c r="G105" s="77"/>
      <c r="J105" s="77"/>
      <c r="K105" s="77"/>
      <c r="L105" s="165" t="s">
        <v>326</v>
      </c>
      <c r="M105" s="166"/>
      <c r="N105" s="166"/>
      <c r="O105" s="167"/>
      <c r="P105" s="167"/>
      <c r="Q105" s="168">
        <f>SUM(Q13:Q101)+SUM(Q4:Q11)</f>
        <v>1077115.1299999999</v>
      </c>
      <c r="R105" s="163"/>
      <c r="S105" s="163"/>
    </row>
    <row r="106" spans="1:21" ht="15.75" thickBot="1" x14ac:dyDescent="0.3">
      <c r="L106" s="169" t="s">
        <v>327</v>
      </c>
      <c r="M106" s="170"/>
      <c r="N106" s="170"/>
      <c r="O106" s="171"/>
      <c r="P106" s="171"/>
      <c r="Q106" s="172">
        <f>Q105+18300.2</f>
        <v>1095415.3299999998</v>
      </c>
      <c r="R106" s="146"/>
      <c r="S106" s="146"/>
    </row>
    <row r="107" spans="1:21" x14ac:dyDescent="0.25">
      <c r="R107" s="164"/>
      <c r="S107" s="164"/>
    </row>
    <row r="108" spans="1:21" ht="15.75" x14ac:dyDescent="0.25">
      <c r="D108" s="49"/>
      <c r="E108" s="49"/>
      <c r="F108" s="49"/>
      <c r="G108" s="49"/>
      <c r="H108" s="49"/>
      <c r="I108" s="49"/>
      <c r="R108" s="164"/>
      <c r="S108" s="164"/>
    </row>
  </sheetData>
  <mergeCells count="12">
    <mergeCell ref="O1:P1"/>
    <mergeCell ref="Q1:R1"/>
    <mergeCell ref="K71:K72"/>
    <mergeCell ref="K37:K46"/>
    <mergeCell ref="K74:K84"/>
    <mergeCell ref="K4:K5"/>
    <mergeCell ref="K8:K9"/>
    <mergeCell ref="K98:K101"/>
    <mergeCell ref="K14:K36"/>
    <mergeCell ref="K85:K97"/>
    <mergeCell ref="K47:K54"/>
    <mergeCell ref="K55:K70"/>
  </mergeCells>
  <phoneticPr fontId="5" type="noConversion"/>
  <pageMargins left="0.70866141732283472" right="0.70866141732283472" top="0.78740157480314965" bottom="0.78740157480314965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List3</vt:lpstr>
      <vt:lpstr>List1</vt:lpstr>
      <vt:lpstr>List3!Oblast_tisku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horakovate</dc:creator>
  <cp:lastModifiedBy>Tereza Horáková</cp:lastModifiedBy>
  <cp:revision/>
  <cp:lastPrinted>2022-04-29T12:05:15Z</cp:lastPrinted>
  <dcterms:created xsi:type="dcterms:W3CDTF">2020-01-13T12:47:10Z</dcterms:created>
  <dcterms:modified xsi:type="dcterms:W3CDTF">2022-04-29T12:05:34Z</dcterms:modified>
</cp:coreProperties>
</file>